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ojektowanie RC\GUPPY 3 - 3410 Knapik\kalkulatory\"/>
    </mc:Choice>
  </mc:AlternateContent>
  <workbookProtection workbookPassword="DE37" lockStructure="1"/>
  <bookViews>
    <workbookView xWindow="255" yWindow="6780" windowWidth="27585" windowHeight="6045" tabRatio="763" activeTab="9"/>
  </bookViews>
  <sheets>
    <sheet name="Instructions" sheetId="7942" r:id="rId1"/>
    <sheet name="Wing" sheetId="1" r:id="rId2"/>
    <sheet name="Horizontal Stabilizer" sheetId="2" r:id="rId3"/>
    <sheet name="Vertical Stabilizer" sheetId="7954" r:id="rId4"/>
    <sheet name="Balance Point" sheetId="7949" r:id="rId5"/>
    <sheet name="Wing Dihedral" sheetId="7953" r:id="rId6"/>
    <sheet name="Tail Sizing Checks" sheetId="7940" r:id="rId7"/>
    <sheet name="Results" sheetId="7955" r:id="rId8"/>
    <sheet name="Glossary" sheetId="7952" r:id="rId9"/>
    <sheet name="Credits" sheetId="7943" r:id="rId10"/>
    <sheet name="Links" sheetId="7957" r:id="rId11"/>
  </sheets>
  <definedNames>
    <definedName name="g" localSheetId="8">Glossary!#REF!</definedName>
    <definedName name="_xlnm.Print_Area" localSheetId="4">'Balance Point'!$A$1:$K$38</definedName>
    <definedName name="_xlnm.Print_Area" localSheetId="6">'Tail Sizing Checks'!$A$1:$G$13</definedName>
    <definedName name="_xlnm.Print_Area" localSheetId="1">Wing!$A$1:$N$50</definedName>
  </definedNames>
  <calcPr calcId="152511"/>
</workbook>
</file>

<file path=xl/calcChain.xml><?xml version="1.0" encoding="utf-8"?>
<calcChain xmlns="http://schemas.openxmlformats.org/spreadsheetml/2006/main">
  <c r="I15" i="7953" l="1"/>
  <c r="H15" i="7953"/>
  <c r="G15" i="7953"/>
  <c r="E15" i="7953"/>
  <c r="I40" i="7953" l="1"/>
  <c r="G40" i="7953"/>
  <c r="E40" i="7953"/>
  <c r="C40" i="7953"/>
  <c r="C42" i="7953" s="1"/>
  <c r="G53" i="1"/>
  <c r="D55" i="7954"/>
  <c r="D47" i="7954"/>
  <c r="D26" i="2"/>
  <c r="C22" i="7940"/>
  <c r="C28" i="7940" s="1"/>
  <c r="C21" i="7940"/>
  <c r="C27" i="7940" s="1"/>
  <c r="C20" i="7940"/>
  <c r="C26" i="7940" s="1"/>
  <c r="C19" i="7940"/>
  <c r="C25" i="7940" s="1"/>
  <c r="C18" i="7940"/>
  <c r="C24" i="7940" s="1"/>
  <c r="D52" i="7954"/>
  <c r="D44" i="7954"/>
  <c r="D46" i="7954" s="1"/>
  <c r="D48" i="7954" s="1"/>
  <c r="C36" i="7955" s="1"/>
  <c r="E36" i="7955" s="1"/>
  <c r="D32" i="2"/>
  <c r="D25" i="2" s="1"/>
  <c r="C90" i="1"/>
  <c r="C80" i="1"/>
  <c r="C70" i="1"/>
  <c r="C60" i="1"/>
  <c r="C61" i="1"/>
  <c r="C71" i="1"/>
  <c r="C81" i="1"/>
  <c r="C91" i="1"/>
  <c r="C35" i="1"/>
  <c r="C8" i="7955" s="1"/>
  <c r="E8" i="7955" s="1"/>
  <c r="C66" i="1"/>
  <c r="C67" i="1" s="1"/>
  <c r="C76" i="1"/>
  <c r="C86" i="1"/>
  <c r="C87" i="1" s="1"/>
  <c r="C96" i="1"/>
  <c r="C97" i="1" s="1"/>
  <c r="D25" i="7953"/>
  <c r="D26" i="7953"/>
  <c r="D27" i="7953" s="1"/>
  <c r="D45" i="7954"/>
  <c r="D34" i="7954"/>
  <c r="D53" i="7954"/>
  <c r="D23" i="2"/>
  <c r="D33" i="2"/>
  <c r="I19" i="2" s="1"/>
  <c r="G24" i="1"/>
  <c r="C15" i="7949" s="1"/>
  <c r="B15" i="7949"/>
  <c r="G25" i="1"/>
  <c r="J24" i="1"/>
  <c r="F15" i="7949" s="1"/>
  <c r="H24" i="1"/>
  <c r="J23" i="1" s="1"/>
  <c r="F14" i="7949" s="1"/>
  <c r="F25" i="1"/>
  <c r="H23" i="1" s="1"/>
  <c r="D14" i="7949" s="1"/>
  <c r="C14" i="7949"/>
  <c r="B14" i="7949"/>
  <c r="C56" i="7955"/>
  <c r="E56" i="7955" s="1"/>
  <c r="D49" i="7954"/>
  <c r="D57" i="7954"/>
  <c r="D36" i="2"/>
  <c r="C84" i="1"/>
  <c r="C94" i="1"/>
  <c r="C74" i="1"/>
  <c r="C64" i="1"/>
  <c r="C92" i="1"/>
  <c r="C95" i="1" s="1"/>
  <c r="C82" i="1"/>
  <c r="C85" i="1" s="1"/>
  <c r="C62" i="1"/>
  <c r="C65" i="1" s="1"/>
  <c r="C72" i="1"/>
  <c r="C75" i="1" s="1"/>
  <c r="C63" i="1"/>
  <c r="C73" i="1"/>
  <c r="C83" i="1"/>
  <c r="C93" i="1"/>
  <c r="F19" i="7954"/>
  <c r="G18" i="7954"/>
  <c r="F17" i="7954"/>
  <c r="F18" i="7954" s="1"/>
  <c r="G17" i="7954"/>
  <c r="F15" i="7954"/>
  <c r="G14" i="7954"/>
  <c r="F13" i="7954"/>
  <c r="F14" i="7954"/>
  <c r="G13" i="7954"/>
  <c r="D24" i="7953"/>
  <c r="C26" i="7953"/>
  <c r="C27" i="7953" s="1"/>
  <c r="J25" i="1"/>
  <c r="L26" i="1" s="1"/>
  <c r="H17" i="7949" s="1"/>
  <c r="L25" i="1"/>
  <c r="H16" i="7949" s="1"/>
  <c r="L24" i="1"/>
  <c r="H15" i="7949" s="1"/>
  <c r="C24" i="7953"/>
  <c r="C25" i="7953" s="1"/>
  <c r="C18" i="7949"/>
  <c r="B18" i="7949"/>
  <c r="H25" i="1"/>
  <c r="F26" i="1"/>
  <c r="H26" i="1" s="1"/>
  <c r="D17" i="7949" s="1"/>
  <c r="H15" i="2"/>
  <c r="H16" i="2"/>
  <c r="I15" i="2"/>
  <c r="I16" i="2" s="1"/>
  <c r="I14" i="2"/>
  <c r="C22" i="7955"/>
  <c r="E22" i="7955" s="1"/>
  <c r="C16" i="7949"/>
  <c r="D27" i="2" l="1"/>
  <c r="C25" i="7955" s="1"/>
  <c r="E25" i="7955" s="1"/>
  <c r="C24" i="7955"/>
  <c r="E24" i="7955" s="1"/>
  <c r="E42" i="7953"/>
  <c r="G42" i="7953" s="1"/>
  <c r="I42" i="7953" s="1"/>
  <c r="B17" i="7949"/>
  <c r="D15" i="7949"/>
  <c r="C44" i="1"/>
  <c r="F31" i="1" s="1"/>
  <c r="F16" i="7949"/>
  <c r="B16" i="7949"/>
  <c r="L23" i="1"/>
  <c r="H14" i="7949" s="1"/>
  <c r="F32" i="1"/>
  <c r="B24" i="7949" s="1"/>
  <c r="J26" i="1"/>
  <c r="F17" i="7949" s="1"/>
  <c r="D16" i="7949"/>
  <c r="I23" i="1"/>
  <c r="G26" i="1"/>
  <c r="C39" i="1"/>
  <c r="D54" i="7954"/>
  <c r="D56" i="7954" s="1"/>
  <c r="C37" i="7955" s="1"/>
  <c r="E37" i="7955" s="1"/>
  <c r="D36" i="7954"/>
  <c r="C34" i="7955" s="1"/>
  <c r="E34" i="7955" s="1"/>
  <c r="C32" i="7955"/>
  <c r="E32" i="7955" s="1"/>
  <c r="D35" i="7954"/>
  <c r="C38" i="1"/>
  <c r="D24" i="2"/>
  <c r="D28" i="2"/>
  <c r="C26" i="7955" s="1"/>
  <c r="E26" i="7955" s="1"/>
  <c r="C11" i="7940"/>
  <c r="C51" i="7955" s="1"/>
  <c r="D37" i="7954"/>
  <c r="C47" i="1"/>
  <c r="C16" i="7955" s="1"/>
  <c r="E16" i="7955" s="1"/>
  <c r="C77" i="1"/>
  <c r="C49" i="1" s="1"/>
  <c r="C51" i="7949" l="1"/>
  <c r="J29" i="1"/>
  <c r="B23" i="7949"/>
  <c r="F21" i="7949" s="1"/>
  <c r="C48" i="1"/>
  <c r="C17" i="7955" s="1"/>
  <c r="E17" i="7955" s="1"/>
  <c r="C11" i="7955"/>
  <c r="E11" i="7955" s="1"/>
  <c r="C36" i="1"/>
  <c r="G47" i="1"/>
  <c r="C40" i="1"/>
  <c r="C41" i="1"/>
  <c r="C14" i="7955" s="1"/>
  <c r="E14" i="7955" s="1"/>
  <c r="D39" i="7954"/>
  <c r="C38" i="7955" s="1"/>
  <c r="E38" i="7955" s="1"/>
  <c r="C33" i="7955"/>
  <c r="E33" i="7955" s="1"/>
  <c r="D40" i="7954"/>
  <c r="D41" i="7954" s="1"/>
  <c r="C12" i="7955"/>
  <c r="E12" i="7955" s="1"/>
  <c r="E14" i="7949"/>
  <c r="I24" i="1"/>
  <c r="D29" i="2"/>
  <c r="C27" i="7955" s="1"/>
  <c r="E27" i="7955" s="1"/>
  <c r="D34" i="2"/>
  <c r="D35" i="2" s="1"/>
  <c r="C23" i="7955"/>
  <c r="E23" i="7955" s="1"/>
  <c r="D38" i="7954"/>
  <c r="C35" i="7955" s="1"/>
  <c r="E35" i="7955" s="1"/>
  <c r="C17" i="7949"/>
  <c r="I26" i="1"/>
  <c r="E17" i="7949" s="1"/>
  <c r="C50" i="1"/>
  <c r="C18" i="7955" s="1"/>
  <c r="E18" i="7955" s="1"/>
  <c r="C51" i="1"/>
  <c r="C19" i="7955" s="1"/>
  <c r="E19" i="7955" s="1"/>
  <c r="C28" i="7955" l="1"/>
  <c r="E28" i="7955" s="1"/>
  <c r="K23" i="1"/>
  <c r="I25" i="1"/>
  <c r="E15" i="7949"/>
  <c r="C39" i="7955"/>
  <c r="E39" i="7955" s="1"/>
  <c r="F22" i="7954"/>
  <c r="C52" i="7949"/>
  <c r="C13" i="7955"/>
  <c r="E13" i="7955" s="1"/>
  <c r="C37" i="1"/>
  <c r="G52" i="1"/>
  <c r="G54" i="1" s="1"/>
  <c r="C9" i="7955"/>
  <c r="E9" i="7955" s="1"/>
  <c r="C42" i="1"/>
  <c r="C43" i="1" l="1"/>
  <c r="C8" i="7940"/>
  <c r="C45" i="7955" s="1"/>
  <c r="C9" i="7940"/>
  <c r="C10" i="7955"/>
  <c r="E10" i="7955" s="1"/>
  <c r="G58" i="1"/>
  <c r="G59" i="1" s="1"/>
  <c r="G60" i="1" s="1"/>
  <c r="G14" i="7949"/>
  <c r="K24" i="1"/>
  <c r="C54" i="7949"/>
  <c r="C53" i="7949"/>
  <c r="K26" i="1"/>
  <c r="G17" i="7949" s="1"/>
  <c r="E16" i="7949"/>
  <c r="C40" i="7955" l="1"/>
  <c r="E40" i="7955" s="1"/>
  <c r="G29" i="1"/>
  <c r="C29" i="7955"/>
  <c r="E29" i="7955" s="1"/>
  <c r="C15" i="7955"/>
  <c r="E15" i="7955" s="1"/>
  <c r="C7" i="7940"/>
  <c r="C43" i="7955" s="1"/>
  <c r="C49" i="7949"/>
  <c r="C50" i="7949" s="1"/>
  <c r="C55" i="7949" s="1"/>
  <c r="G15" i="7949"/>
  <c r="M23" i="1"/>
  <c r="K25" i="1"/>
  <c r="C47" i="7955"/>
  <c r="C10" i="7940" l="1"/>
  <c r="C49" i="7955" s="1"/>
  <c r="G16" i="7949"/>
  <c r="M26" i="1"/>
  <c r="I17" i="7949" s="1"/>
  <c r="I14" i="7949"/>
  <c r="M24" i="1"/>
  <c r="E36" i="7949"/>
  <c r="D36" i="7949" s="1"/>
  <c r="E35" i="7949"/>
  <c r="D35" i="7949" s="1"/>
  <c r="C54" i="7955" s="1"/>
  <c r="E54" i="7955" s="1"/>
  <c r="E43" i="7949"/>
  <c r="C35" i="7949"/>
  <c r="E42" i="7949"/>
  <c r="C56" i="7949"/>
  <c r="C57" i="7949" s="1"/>
  <c r="C21" i="7949" s="1"/>
  <c r="I30" i="1"/>
  <c r="J30" i="1"/>
  <c r="G31" i="1"/>
  <c r="F22" i="7949" l="1"/>
  <c r="E22" i="7949"/>
  <c r="M25" i="1"/>
  <c r="I16" i="7949" s="1"/>
  <c r="I15" i="7949"/>
  <c r="G32" i="1"/>
  <c r="C24" i="7949" s="1"/>
  <c r="C23" i="7949"/>
  <c r="C20" i="7949"/>
  <c r="C57" i="7955"/>
  <c r="E57" i="7955" s="1"/>
</calcChain>
</file>

<file path=xl/comments1.xml><?xml version="1.0" encoding="utf-8"?>
<comments xmlns="http://schemas.openxmlformats.org/spreadsheetml/2006/main">
  <authors>
    <author>Curtis Suter</author>
    <author>Curtis</author>
  </authors>
  <commentList>
    <comment ref="C11" authorId="0" shapeId="0">
      <text>
        <r>
          <rPr>
            <b/>
            <sz val="10"/>
            <color indexed="81"/>
            <rFont val="Tahoma"/>
            <family val="2"/>
          </rPr>
          <t>Measure from Root Leading Edge.</t>
        </r>
        <r>
          <rPr>
            <sz val="8"/>
            <color indexed="81"/>
            <rFont val="Tahoma"/>
            <family val="2"/>
          </rPr>
          <t xml:space="preserve">
</t>
        </r>
      </text>
    </comment>
    <comment ref="F11" authorId="0" shapeId="0">
      <text>
        <r>
          <rPr>
            <b/>
            <sz val="10"/>
            <color indexed="81"/>
            <rFont val="Tahoma"/>
            <family val="2"/>
          </rPr>
          <t>Measure from Root of this panel.</t>
        </r>
      </text>
    </comment>
    <comment ref="H11" authorId="0" shapeId="0">
      <text>
        <r>
          <rPr>
            <b/>
            <sz val="10"/>
            <color indexed="81"/>
            <rFont val="Tahoma"/>
            <family val="2"/>
          </rPr>
          <t>Measure from Root of this panel.</t>
        </r>
      </text>
    </comment>
    <comment ref="J12" authorId="1" shapeId="0">
      <text>
        <r>
          <rPr>
            <b/>
            <sz val="10"/>
            <color indexed="81"/>
            <rFont val="Tahoma"/>
            <family val="2"/>
          </rPr>
          <t>Measured from Root of this Panel.</t>
        </r>
      </text>
    </comment>
    <comment ref="C42" authorId="0" shapeId="0">
      <text>
        <r>
          <rPr>
            <b/>
            <sz val="10"/>
            <color indexed="81"/>
            <rFont val="Tahoma"/>
            <family val="2"/>
          </rPr>
          <t>Measured aft from Leading edge at wing root.</t>
        </r>
      </text>
    </comment>
    <comment ref="C43" authorId="0" shapeId="0">
      <text>
        <r>
          <rPr>
            <b/>
            <sz val="10"/>
            <color indexed="81"/>
            <rFont val="Tahoma"/>
            <family val="2"/>
          </rPr>
          <t>Measured aft from Leading edge at wing root.</t>
        </r>
        <r>
          <rPr>
            <sz val="8"/>
            <color indexed="81"/>
            <rFont val="Tahoma"/>
            <family val="2"/>
          </rPr>
          <t xml:space="preserve">
</t>
        </r>
      </text>
    </comment>
    <comment ref="B46" authorId="1" shapeId="0">
      <text>
        <r>
          <rPr>
            <b/>
            <sz val="10"/>
            <color indexed="81"/>
            <rFont val="Tahoma"/>
            <family val="2"/>
          </rPr>
          <t xml:space="preserve">These results are how the wing is actually seen in flight if your wing has Dihedral.
</t>
        </r>
        <r>
          <rPr>
            <b/>
            <i/>
            <sz val="10"/>
            <color indexed="81"/>
            <rFont val="Tahoma"/>
            <family val="2"/>
          </rPr>
          <t>Note:</t>
        </r>
        <r>
          <rPr>
            <b/>
            <sz val="10"/>
            <color indexed="81"/>
            <rFont val="Tahoma"/>
            <family val="2"/>
          </rPr>
          <t xml:space="preserve">  The Dihedral Tab must be completed.</t>
        </r>
      </text>
    </comment>
    <comment ref="G47" authorId="1" shapeId="0">
      <text>
        <r>
          <rPr>
            <b/>
            <sz val="9"/>
            <color indexed="81"/>
            <rFont val="Tahoma"/>
            <family val="2"/>
          </rPr>
          <t>Standard Day:
- 59 degrees Farenheit
- Sea Level Altitude
- Barometric Pressure 29.92 in hg</t>
        </r>
        <r>
          <rPr>
            <sz val="9"/>
            <color indexed="81"/>
            <rFont val="Tahoma"/>
            <family val="2"/>
          </rPr>
          <t xml:space="preserve">
</t>
        </r>
      </text>
    </comment>
    <comment ref="G52" authorId="1" shapeId="0">
      <text>
        <r>
          <rPr>
            <b/>
            <sz val="9"/>
            <color indexed="81"/>
            <rFont val="Tahoma"/>
            <family val="2"/>
          </rPr>
          <t>Affected by Weight, Total Wing Area and Speed above.
Assumed Standard Density at Sea Level</t>
        </r>
        <r>
          <rPr>
            <sz val="9"/>
            <color indexed="81"/>
            <rFont val="Tahoma"/>
            <family val="2"/>
          </rPr>
          <t xml:space="preserve">
</t>
        </r>
      </text>
    </comment>
  </commentList>
</comments>
</file>

<file path=xl/comments2.xml><?xml version="1.0" encoding="utf-8"?>
<comments xmlns="http://schemas.openxmlformats.org/spreadsheetml/2006/main">
  <authors>
    <author>Curtis Suter</author>
  </authors>
  <commentList>
    <comment ref="C11" authorId="0" shapeId="0">
      <text>
        <r>
          <rPr>
            <b/>
            <sz val="8"/>
            <color indexed="81"/>
            <rFont val="Tahoma"/>
            <family val="2"/>
          </rPr>
          <t>Measured from root leading edge.</t>
        </r>
        <r>
          <rPr>
            <sz val="8"/>
            <color indexed="81"/>
            <rFont val="Tahoma"/>
            <family val="2"/>
          </rPr>
          <t xml:space="preserve">
</t>
        </r>
      </text>
    </comment>
    <comment ref="D33" authorId="0" shapeId="0">
      <text>
        <r>
          <rPr>
            <b/>
            <sz val="8"/>
            <color indexed="81"/>
            <rFont val="Tahoma"/>
            <family val="2"/>
          </rPr>
          <t>Measured aft from Leading edge at wing root.</t>
        </r>
        <r>
          <rPr>
            <sz val="8"/>
            <color indexed="81"/>
            <rFont val="Tahoma"/>
            <family val="2"/>
          </rPr>
          <t xml:space="preserve">
</t>
        </r>
      </text>
    </comment>
    <comment ref="D34" authorId="0" shapeId="0">
      <text>
        <r>
          <rPr>
            <b/>
            <sz val="8"/>
            <color indexed="81"/>
            <rFont val="Tahoma"/>
            <family val="2"/>
          </rPr>
          <t>Measured aft from Leading edge at wing root.</t>
        </r>
        <r>
          <rPr>
            <sz val="8"/>
            <color indexed="81"/>
            <rFont val="Tahoma"/>
            <family val="2"/>
          </rPr>
          <t xml:space="preserve">
</t>
        </r>
      </text>
    </comment>
    <comment ref="D35" authorId="0" shapeId="0">
      <text>
        <r>
          <rPr>
            <b/>
            <sz val="8"/>
            <color indexed="81"/>
            <rFont val="Tahoma"/>
            <family val="2"/>
          </rPr>
          <t>Measured aft from Leading edge at wing root.</t>
        </r>
        <r>
          <rPr>
            <sz val="8"/>
            <color indexed="81"/>
            <rFont val="Tahoma"/>
            <family val="2"/>
          </rPr>
          <t xml:space="preserve">
</t>
        </r>
      </text>
    </comment>
  </commentList>
</comments>
</file>

<file path=xl/comments3.xml><?xml version="1.0" encoding="utf-8"?>
<comments xmlns="http://schemas.openxmlformats.org/spreadsheetml/2006/main">
  <authors>
    <author>Curtis Suter</author>
  </authors>
  <commentList>
    <comment ref="D40" authorId="0" shapeId="0">
      <text>
        <r>
          <rPr>
            <b/>
            <sz val="8"/>
            <color indexed="81"/>
            <rFont val="Tahoma"/>
            <family val="2"/>
          </rPr>
          <t>Measured aft from Leading edge at wing root.</t>
        </r>
        <r>
          <rPr>
            <sz val="8"/>
            <color indexed="81"/>
            <rFont val="Tahoma"/>
            <family val="2"/>
          </rPr>
          <t xml:space="preserve">
</t>
        </r>
      </text>
    </comment>
    <comment ref="D41" authorId="0" shapeId="0">
      <text>
        <r>
          <rPr>
            <b/>
            <sz val="8"/>
            <color indexed="81"/>
            <rFont val="Tahoma"/>
            <family val="2"/>
          </rPr>
          <t>Measured aft from Leading edge at wing root.</t>
        </r>
        <r>
          <rPr>
            <sz val="8"/>
            <color indexed="81"/>
            <rFont val="Tahoma"/>
            <family val="2"/>
          </rPr>
          <t xml:space="preserve">
</t>
        </r>
      </text>
    </comment>
    <comment ref="D45" authorId="0" shapeId="0">
      <text>
        <r>
          <rPr>
            <b/>
            <sz val="8"/>
            <color indexed="81"/>
            <rFont val="Tahoma"/>
            <family val="2"/>
          </rPr>
          <t>Measured aft from Leading edge at wing root.</t>
        </r>
        <r>
          <rPr>
            <sz val="8"/>
            <color indexed="81"/>
            <rFont val="Tahoma"/>
            <family val="2"/>
          </rPr>
          <t xml:space="preserve">
</t>
        </r>
      </text>
    </comment>
    <comment ref="D53" authorId="0" shapeId="0">
      <text>
        <r>
          <rPr>
            <b/>
            <sz val="8"/>
            <color indexed="81"/>
            <rFont val="Tahoma"/>
            <family val="2"/>
          </rPr>
          <t>Measured aft from Leading edge at wing root.</t>
        </r>
        <r>
          <rPr>
            <sz val="8"/>
            <color indexed="81"/>
            <rFont val="Tahoma"/>
            <family val="2"/>
          </rPr>
          <t xml:space="preserve">
</t>
        </r>
      </text>
    </comment>
  </commentList>
</comments>
</file>

<file path=xl/comments4.xml><?xml version="1.0" encoding="utf-8"?>
<comments xmlns="http://schemas.openxmlformats.org/spreadsheetml/2006/main">
  <authors>
    <author>Curtis Suter</author>
    <author>Curtis</author>
  </authors>
  <commentList>
    <comment ref="B33" authorId="0" shapeId="0">
      <text>
        <r>
          <rPr>
            <b/>
            <sz val="10"/>
            <color indexed="81"/>
            <rFont val="Tahoma"/>
            <family val="2"/>
          </rPr>
          <t>Must be entered to determine a CG location.</t>
        </r>
      </text>
    </comment>
    <comment ref="C33" authorId="0" shapeId="0">
      <text>
        <r>
          <rPr>
            <b/>
            <sz val="10"/>
            <color indexed="81"/>
            <rFont val="Tahoma"/>
            <family val="2"/>
          </rPr>
          <t>This must be estimated: 
- Approximately 0.9 for a T-tail 
- Approximately 0.6 Cruciform tail</t>
        </r>
        <r>
          <rPr>
            <sz val="8"/>
            <color indexed="81"/>
            <rFont val="Tahoma"/>
            <family val="2"/>
          </rPr>
          <t xml:space="preserve">
</t>
        </r>
      </text>
    </comment>
    <comment ref="D34" authorId="1" shapeId="0">
      <text>
        <r>
          <rPr>
            <b/>
            <sz val="10"/>
            <color indexed="81"/>
            <rFont val="Tahoma"/>
            <family val="2"/>
          </rPr>
          <t>Measured aft from from Root Leading Edge.</t>
        </r>
        <r>
          <rPr>
            <sz val="8"/>
            <color indexed="81"/>
            <rFont val="Tahoma"/>
            <family val="2"/>
          </rPr>
          <t xml:space="preserve">
</t>
        </r>
      </text>
    </comment>
    <comment ref="D35" authorId="0" shapeId="0">
      <text>
        <r>
          <rPr>
            <b/>
            <sz val="10"/>
            <color indexed="81"/>
            <rFont val="Tahoma"/>
            <family val="2"/>
          </rPr>
          <t xml:space="preserve">Measured aft from from Root Leading Edge.
This is the </t>
        </r>
        <r>
          <rPr>
            <b/>
            <sz val="10"/>
            <color indexed="10"/>
            <rFont val="Tahoma"/>
            <family val="2"/>
          </rPr>
          <t>RED</t>
        </r>
        <r>
          <rPr>
            <b/>
            <sz val="10"/>
            <color indexed="81"/>
            <rFont val="Tahoma"/>
            <family val="2"/>
          </rPr>
          <t xml:space="preserve"> triangle.</t>
        </r>
      </text>
    </comment>
    <comment ref="D36" authorId="1" shapeId="0">
      <text>
        <r>
          <rPr>
            <b/>
            <sz val="10"/>
            <color indexed="81"/>
            <rFont val="Tahoma"/>
            <family val="2"/>
          </rPr>
          <t>This is the</t>
        </r>
        <r>
          <rPr>
            <b/>
            <sz val="10"/>
            <color indexed="12"/>
            <rFont val="Tahoma"/>
            <family val="2"/>
          </rPr>
          <t xml:space="preserve"> BLUE</t>
        </r>
        <r>
          <rPr>
            <b/>
            <sz val="10"/>
            <color indexed="81"/>
            <rFont val="Tahoma"/>
            <family val="2"/>
          </rPr>
          <t xml:space="preserve"> dash on the graph.</t>
        </r>
      </text>
    </comment>
  </commentList>
</comments>
</file>

<file path=xl/comments5.xml><?xml version="1.0" encoding="utf-8"?>
<comments xmlns="http://schemas.openxmlformats.org/spreadsheetml/2006/main">
  <authors>
    <author>Curtis</author>
  </authors>
  <commentList>
    <comment ref="B17" authorId="0" shapeId="0">
      <text>
        <r>
          <rPr>
            <b/>
            <sz val="8"/>
            <color indexed="81"/>
            <rFont val="Tahoma"/>
            <family val="2"/>
          </rPr>
          <t>By Mark Drela at Yahoo Groups.
Close. It's a weighted average of the individual panel dihedral
angles. The necessary weighting factors were derived by Blaine
Rawdon. It's easy to implement in a spreadsheet as follows.
Lets say a wing half has three panels, like on the BubbleDancer or the
Majestic. The three panels are defined by four panel break stations
at four spanwise y locations y0,y1,y2,y3:
panel 1: y0 .. y1 , dihedral = d1
panel 2: y1 .. y2 , dihedral = d2
panel 3: y2 .. y3 , dihedral = d3
In a spreadsheet, it would only be necessary to input y1,y2,y3, since
y0 is always zero. Each panel's dihedral angle d1,d2,d3 is measured
from the horizontal plane. For the BD, these are
d1 = 0 deg
d2 = 10 deg
d3 = 20 deg
We now determine the fractional y locations, called "eta" by
convention. The BD has panel breaks at y=0,18,42,60" spanwise
locations, giving the following eta values:
eta0 = 0/60 = 0.0
eta1 = 18/60 = 0.30
eta2 = 42/60 = 0.70
eta3 = 60/60 = 1.0
We now compute a Blaine's weighting function f = (1 - eta^2)^1.5 for
each eta. For the BD these are:
f0 = 1.000
f1 = 0.868
f2 = 0.364
f3 = 0.000
The Equivalent Dihedral Angle (EDA) is finally computed as follows:
EDA = (f0-f1)*d1 + (f1-f2)*d2 + (f2-f3)*d3
For the BD this works out to
EDA = (1.000-0.868)*0 + (0.868-0.364)*10 + (0.364-0.000)*20 = 12.3</t>
        </r>
      </text>
    </comment>
  </commentList>
</comments>
</file>

<file path=xl/sharedStrings.xml><?xml version="1.0" encoding="utf-8"?>
<sst xmlns="http://schemas.openxmlformats.org/spreadsheetml/2006/main" count="510" uniqueCount="271">
  <si>
    <t>Sweepback</t>
  </si>
  <si>
    <t>Span</t>
  </si>
  <si>
    <t>Chord</t>
  </si>
  <si>
    <t>Root Chord</t>
  </si>
  <si>
    <t>1st Panel Chord</t>
  </si>
  <si>
    <t>Tip Chord</t>
  </si>
  <si>
    <t>1st Panel Span</t>
  </si>
  <si>
    <t>2nd Panel Span</t>
  </si>
  <si>
    <t>% MAC</t>
  </si>
  <si>
    <t>Panel 1 Results</t>
  </si>
  <si>
    <t>Panel 2 Results</t>
  </si>
  <si>
    <t xml:space="preserve">  Area (dS1)</t>
  </si>
  <si>
    <t xml:space="preserve">  Area (dS2)</t>
  </si>
  <si>
    <t xml:space="preserve">  25% MAC  (x1) from R.L.E.</t>
  </si>
  <si>
    <t xml:space="preserve">  Total Span</t>
  </si>
  <si>
    <t xml:space="preserve">  Total Area</t>
  </si>
  <si>
    <t xml:space="preserve">  Wing Loading</t>
  </si>
  <si>
    <t xml:space="preserve">  Mean Chord (area/span)</t>
  </si>
  <si>
    <t xml:space="preserve">  Location of 0% point</t>
  </si>
  <si>
    <t xml:space="preserve">  Location of 25% point</t>
  </si>
  <si>
    <t>eta0</t>
  </si>
  <si>
    <t>eta1</t>
  </si>
  <si>
    <t>eta2</t>
  </si>
  <si>
    <t>eta3</t>
  </si>
  <si>
    <t>f0</t>
  </si>
  <si>
    <t>f1</t>
  </si>
  <si>
    <t>f2</t>
  </si>
  <si>
    <t>f3</t>
  </si>
  <si>
    <t>Wing Panel Span</t>
  </si>
  <si>
    <t>Center Chord</t>
  </si>
  <si>
    <t>Top Span</t>
  </si>
  <si>
    <t>Bottom Span</t>
  </si>
  <si>
    <t>Bottom Chord</t>
  </si>
  <si>
    <t>Top Chord</t>
  </si>
  <si>
    <t>Upper Panel Results</t>
  </si>
  <si>
    <t>Lower Panel Results</t>
  </si>
  <si>
    <t>2nd Panel Chord</t>
  </si>
  <si>
    <t>3rd Panel Span</t>
  </si>
  <si>
    <t>Panel 3 Results</t>
  </si>
  <si>
    <t xml:space="preserve">  Area (dS3)</t>
  </si>
  <si>
    <t xml:space="preserve">  25% MAC  (x2) from R.L.E.</t>
  </si>
  <si>
    <t xml:space="preserve">  25% MAC  (x3) from R.L.E.</t>
  </si>
  <si>
    <t xml:space="preserve">  Wing Aspect Ratio</t>
  </si>
  <si>
    <t>Dihedral</t>
  </si>
  <si>
    <t xml:space="preserve">This is an assumed value of CL during slow thermalling.  </t>
  </si>
  <si>
    <t>Suggested Sizes</t>
  </si>
  <si>
    <t>Required Calculations, please ignore.</t>
  </si>
  <si>
    <t>Distance from Wing Trailing Edge to Stab Leading Edge</t>
  </si>
  <si>
    <t>Distance from Wing Trailing Edge to Fin Leading Edge</t>
  </si>
  <si>
    <t>0.3 - 0.6</t>
  </si>
  <si>
    <t>Degrees</t>
  </si>
  <si>
    <t>Herk Stokely</t>
  </si>
  <si>
    <t>Martin Simons</t>
  </si>
  <si>
    <t>Mark Drela</t>
  </si>
  <si>
    <t>Wing Tab</t>
  </si>
  <si>
    <t>What does it do?</t>
  </si>
  <si>
    <t xml:space="preserve">  I've never met Herk in person but he helped me understand terms such as the Mean Aerodynamic Chord, Static Margin etc. Thanks so much to Herk for all his excellent knowledge and patience with my numerous questions.</t>
  </si>
  <si>
    <t xml:space="preserve">  Martin's book "Model Aircraft Aerodynamics" is a must read for any model airplane designer or wanting to understand more about aerodynamics.  This is where I obtained all the formulas for the spreadsheet except for the Tail Sizing Checks that I obtained from Mark Drela.</t>
  </si>
  <si>
    <t xml:space="preserve">  Mark wrote an article on Tail Sizing Checks and I used his formulas for this part of the spreadsheet. It can be found at: http://www.b2streamlines.com/ (Aug 2004 Issue), free for download thanks to Radio Controlled Soaring Digests.   </t>
  </si>
  <si>
    <t xml:space="preserve">  If trying to determine the proper sizing of a your tails, proper tail moments (lengths) or the proper dihedral angle all the tabs require completion.  Then change one design feature, such as tail moment of your model to see the effected changes.</t>
  </si>
  <si>
    <t>Cruciform Tail</t>
  </si>
  <si>
    <t xml:space="preserve"> - Fill in ALL the yellow rectangles.</t>
  </si>
  <si>
    <t>General Information</t>
  </si>
  <si>
    <t>Joe Hahn and Don Stackhouse</t>
  </si>
  <si>
    <t xml:space="preserve">  Total Horizontal Stabilizer Results</t>
  </si>
  <si>
    <t xml:space="preserve">                1/2 Stabilizer Results</t>
  </si>
  <si>
    <t xml:space="preserve">   Total Vertical Stabilizer Results</t>
  </si>
  <si>
    <t>Name</t>
  </si>
  <si>
    <t xml:space="preserve"> - All that's required is a weight scale and ruler.</t>
  </si>
  <si>
    <t xml:space="preserve">  The information does not take into effect airfoils, spanwise flows, wing downwash, intersection drag etc.  However, this is a very good starting point for a new model or verifying manufacturer's supplied information.  </t>
  </si>
  <si>
    <t xml:space="preserve">  Neutral Point (%MAC)</t>
  </si>
  <si>
    <t xml:space="preserve">  Neutral Point from R.L.E.</t>
  </si>
  <si>
    <t>percent</t>
  </si>
  <si>
    <t xml:space="preserve">  As/Aw</t>
  </si>
  <si>
    <t xml:space="preserve">  Adjusted Lift Slope Wing (Aw)</t>
  </si>
  <si>
    <t xml:space="preserve">  Adjusted Lift Slope Stabilzer (As)</t>
  </si>
  <si>
    <t>Disclaimer</t>
  </si>
  <si>
    <t xml:space="preserve">  Neutral Point from R.T.E.</t>
  </si>
  <si>
    <t>Neutral Point (%MAC)</t>
  </si>
  <si>
    <t xml:space="preserve">  de/da</t>
  </si>
  <si>
    <t xml:space="preserve">  Tail Volume (Vs)</t>
  </si>
  <si>
    <t>Enter % MAC</t>
  </si>
  <si>
    <t>Stabilizer Efficiency</t>
  </si>
  <si>
    <t>Static Margin (%)</t>
  </si>
  <si>
    <t>Enter actual CG from L.E.</t>
  </si>
  <si>
    <t xml:space="preserve">  With the sole use of this tab you can determine Wing Area, Wingspan, Wing Loading, Aspect Ratio, Mean Aerodynamic Chord and Reynolds Number.</t>
  </si>
  <si>
    <t>Others</t>
  </si>
  <si>
    <t>Myself</t>
  </si>
  <si>
    <t>Curtis Suter, Designer.</t>
  </si>
  <si>
    <t>Enter Static Margin</t>
  </si>
  <si>
    <t>Reynolds' Number</t>
  </si>
  <si>
    <t>Wing Loading</t>
  </si>
  <si>
    <t xml:space="preserve">  A line connecting the leading edge to the trailing edge of a surface</t>
  </si>
  <si>
    <t xml:space="preserve">  The average chord length of the wing</t>
  </si>
  <si>
    <t xml:space="preserve">  A non-dimensional parameter which establishes relative viscous flow effects</t>
  </si>
  <si>
    <t>Polyhedral</t>
  </si>
  <si>
    <t xml:space="preserve">Area </t>
  </si>
  <si>
    <t xml:space="preserve">  The distance from wingtip to wingtip</t>
  </si>
  <si>
    <t>Mean Aerodynamic Chord (MAC)</t>
  </si>
  <si>
    <t>Center of Gravity (CG)</t>
  </si>
  <si>
    <t>Aspect Ratio (AR)</t>
  </si>
  <si>
    <t>Aerodynamic Center (AC)</t>
  </si>
  <si>
    <t>Static Margin (SM)</t>
  </si>
  <si>
    <t>Neutral Point (NP)</t>
  </si>
  <si>
    <t xml:space="preserve">   For modeling purposes, this is the point at which the glider balances fore and aft</t>
  </si>
  <si>
    <t xml:space="preserve">  The ratio of the span to the average chord</t>
  </si>
  <si>
    <t xml:space="preserve">  The total surface area of a wing, tail or fin</t>
  </si>
  <si>
    <t xml:space="preserve">  Polyhedral refers to the multiple angled wing panels.  A wing with polyhedral has more than two wing panels and the angle of the wing changes at each joint</t>
  </si>
  <si>
    <t xml:space="preserve">  The distance between the aerodynamic center and the center of gravity as measured in percent of the mean aerodynamic chord.  A measure of the amount of static stability possessed by a glider</t>
  </si>
  <si>
    <t xml:space="preserve">  This is the amount of gross weight that each square foot of wing must support in flight to provide lift, expressed as "ounces per square foot"</t>
  </si>
  <si>
    <t xml:space="preserve">  The degree of angle (V-shaped bend) when viewed from the front or rear</t>
  </si>
  <si>
    <t xml:space="preserve">  Their website has a wealth of information where many aerodynamic explanations are available.  http://www.djaerotech.com/dj_askjd/</t>
  </si>
  <si>
    <t>Total Wing Results</t>
  </si>
  <si>
    <t>Tail Sizing Checks Tab</t>
  </si>
  <si>
    <t>Credits Tab</t>
  </si>
  <si>
    <t xml:space="preserve">  I encourage constructive comments to improve this work.  Please email suterc@msn.com</t>
  </si>
  <si>
    <t xml:space="preserve">  This spreadsheet will calculate wing and vertical/horizontal tail areas and aspect ratios.  Design considerations for your tail length and tail sizes (areas), spans and recommended dihedral angles for a Polyhedral glider.  It'll calculate the percent Mean Aerodynamic Chord and Neutral Point to help determine a center of balance location for a first test flight.</t>
  </si>
  <si>
    <t>Wing Dihedral Tab</t>
  </si>
  <si>
    <t>4th Panel Span</t>
  </si>
  <si>
    <t>3rd Panel Tip Chord</t>
  </si>
  <si>
    <t>Panel 4 Results</t>
  </si>
  <si>
    <t xml:space="preserve">  Area (dS4)</t>
  </si>
  <si>
    <t>Vertical Stabilizer Tab</t>
  </si>
  <si>
    <t>Balance Point Tab</t>
  </si>
  <si>
    <t>Horizntal Stabilizer Tab</t>
  </si>
  <si>
    <t>f4</t>
  </si>
  <si>
    <t>eta4</t>
  </si>
  <si>
    <t xml:space="preserve">  Please read the credits tab.</t>
  </si>
  <si>
    <t xml:space="preserve">  To determine a balance point (CG) for a first flight, a static margin of  5-10 percent is generally accepted as a good starting point for a safe test flight.  Flight testing can then narrow the actual balance location by removing noseweight.  I personally prefer the dive test method for refining the balance location.</t>
  </si>
  <si>
    <t xml:space="preserve">  I originally started programming this spreadsheet because I crashed a new model on its first flight.  The cause of the crash was that the manufacturer had calculated the balance point incorrectly, over 2" aft!  They since submitted a change to the plans.  This spreadsheet will allow simple measurements with a ruler that will perform complicated formulas to determine where the neutral point is and thus where the center of balance should be for an initial test flight.</t>
  </si>
  <si>
    <t xml:space="preserve">  There are four sweep locations or panels for your use.  To determine how many panels your wing has look at the leading edge and use the number of sweepback breaks your wing has.  If your wing only has two breaks just enter zero's for the third and fourth panel.  </t>
  </si>
  <si>
    <r>
      <t xml:space="preserve">  This tab is only required for use of the </t>
    </r>
    <r>
      <rPr>
        <i/>
        <sz val="10"/>
        <rFont val="Arial"/>
        <family val="2"/>
      </rPr>
      <t>Balance Point</t>
    </r>
    <r>
      <rPr>
        <sz val="10"/>
        <rFont val="Arial"/>
        <family val="2"/>
      </rPr>
      <t xml:space="preserve"> and </t>
    </r>
    <r>
      <rPr>
        <i/>
        <sz val="10"/>
        <rFont val="Arial"/>
        <family val="2"/>
      </rPr>
      <t>Tail Sizing Checks</t>
    </r>
    <r>
      <rPr>
        <sz val="10"/>
        <rFont val="Arial"/>
        <family val="2"/>
      </rPr>
      <t xml:space="preserve"> Tab or if you'd like general information on your tails.</t>
    </r>
  </si>
  <si>
    <t xml:space="preserve">  For the Vertical Stabilizer use only the top portion unless your vertical has a top and bottom component as is popular in Discus Launch Gliders (DLG's).</t>
  </si>
  <si>
    <t>Glossary Tab</t>
  </si>
  <si>
    <t>TOTAL WING RESULTS</t>
  </si>
  <si>
    <t>Total Vertical Stabilizer Results</t>
  </si>
  <si>
    <t>Total Horizontal Stabilizer Results</t>
  </si>
  <si>
    <t>Tail Sizing Checks</t>
  </si>
  <si>
    <t>Horizontal Tail Volume (pitch stability) (Vh)</t>
  </si>
  <si>
    <t>Vertical Tail Volume (yaw damping and rudder power) (Vv)</t>
  </si>
  <si>
    <t>Equivalent Dihedral Angle (EDA)</t>
  </si>
  <si>
    <t>Balance Point</t>
  </si>
  <si>
    <t xml:space="preserve">  Location of Neutral Point</t>
  </si>
  <si>
    <t>Results Tab</t>
  </si>
  <si>
    <t xml:space="preserve">  Single page printing of results from all of the above tabs</t>
  </si>
  <si>
    <t xml:space="preserve">  The place on the glider where all aerodynamic forces may be assumed to act as a single force, i.e 25% MAC</t>
  </si>
  <si>
    <r>
      <t xml:space="preserve">Note:  </t>
    </r>
    <r>
      <rPr>
        <b/>
        <sz val="12"/>
        <color indexed="10"/>
        <rFont val="Arial"/>
        <family val="2"/>
      </rPr>
      <t>Red</t>
    </r>
    <r>
      <rPr>
        <b/>
        <sz val="12"/>
        <rFont val="Arial"/>
        <family val="2"/>
      </rPr>
      <t xml:space="preserve"> Triangle is Aerodynamic Center (AC) of the Wing</t>
    </r>
  </si>
  <si>
    <r>
      <t xml:space="preserve">    Note:  </t>
    </r>
    <r>
      <rPr>
        <b/>
        <sz val="10"/>
        <color indexed="10"/>
        <rFont val="Arial"/>
        <family val="2"/>
      </rPr>
      <t>Red</t>
    </r>
    <r>
      <rPr>
        <b/>
        <sz val="10"/>
        <rFont val="Arial"/>
        <family val="2"/>
      </rPr>
      <t xml:space="preserve"> Triangle is Aerodynamic Center (AC) of the Horizontal Stabilizer</t>
    </r>
  </si>
  <si>
    <r>
      <t xml:space="preserve">      Note:  </t>
    </r>
    <r>
      <rPr>
        <b/>
        <sz val="10"/>
        <color indexed="10"/>
        <rFont val="Arial"/>
        <family val="2"/>
      </rPr>
      <t>Red</t>
    </r>
    <r>
      <rPr>
        <b/>
        <sz val="10"/>
        <rFont val="Arial"/>
        <family val="2"/>
      </rPr>
      <t xml:space="preserve"> Triangle is Aerodynamic Center (AC) of the Vertical Stabilizer</t>
    </r>
  </si>
  <si>
    <t xml:space="preserve">  Sweep distance at MAC</t>
  </si>
  <si>
    <t xml:space="preserve">  MAC distance from root</t>
  </si>
  <si>
    <t>AC</t>
  </si>
  <si>
    <t xml:space="preserve">  MAC for this panel</t>
  </si>
  <si>
    <t xml:space="preserve">  Mean Aerodynamic Chord (length)</t>
  </si>
  <si>
    <t>MAC distance</t>
  </si>
  <si>
    <t>MAC Length</t>
  </si>
  <si>
    <t xml:space="preserve"> suterc@msn.com</t>
  </si>
  <si>
    <t>Red Dashed Line</t>
  </si>
  <si>
    <t>What it does?</t>
  </si>
  <si>
    <t>What affects the results</t>
  </si>
  <si>
    <t>This is a measure of the effectiveness of the horizontal tail.  The Neutral Point location is primarily controlled by the size of the horizontal tail and its moment arm from the CG.</t>
  </si>
  <si>
    <r>
      <rPr>
        <sz val="10"/>
        <rFont val="Arial"/>
        <family val="2"/>
      </rPr>
      <t xml:space="preserve">Affected by </t>
    </r>
    <r>
      <rPr>
        <i/>
        <sz val="10"/>
        <rFont val="Arial"/>
        <family val="2"/>
      </rPr>
      <t>Horizontal tail area</t>
    </r>
    <r>
      <rPr>
        <sz val="10"/>
        <rFont val="Arial"/>
        <family val="2"/>
      </rPr>
      <t xml:space="preserve"> on horizontal stab tab, </t>
    </r>
    <r>
      <rPr>
        <i/>
        <sz val="10"/>
        <rFont val="Arial"/>
        <family val="2"/>
      </rPr>
      <t>main wing area</t>
    </r>
    <r>
      <rPr>
        <sz val="10"/>
        <rFont val="Arial"/>
        <family val="2"/>
      </rPr>
      <t xml:space="preserve">, </t>
    </r>
    <r>
      <rPr>
        <i/>
        <sz val="10"/>
        <rFont val="Arial"/>
        <family val="2"/>
      </rPr>
      <t>Horizontal tail arm</t>
    </r>
    <r>
      <rPr>
        <sz val="10"/>
        <rFont val="Arial"/>
        <family val="2"/>
      </rPr>
      <t xml:space="preserve"> and </t>
    </r>
    <r>
      <rPr>
        <i/>
        <sz val="10"/>
        <rFont val="Arial"/>
        <family val="2"/>
      </rPr>
      <t>main wing chord</t>
    </r>
    <r>
      <rPr>
        <sz val="10"/>
        <rFont val="Arial"/>
        <family val="2"/>
      </rPr>
      <t xml:space="preserve"> on wing tab.</t>
    </r>
  </si>
  <si>
    <t>The primary role of the vertical tail is to provide yaw damping, which is the tendency of yaw oscillations of the aircraft to subside. The vertical tail also provides yaw stability, although this will be almost certainly ensured if the yaw damping is sufficient.</t>
  </si>
  <si>
    <r>
      <rPr>
        <sz val="10"/>
        <rFont val="Arial"/>
        <family val="2"/>
      </rPr>
      <t xml:space="preserve">Affected by </t>
    </r>
    <r>
      <rPr>
        <i/>
        <sz val="10"/>
        <rFont val="Arial"/>
        <family val="2"/>
      </rPr>
      <t xml:space="preserve">Vertical tail area </t>
    </r>
    <r>
      <rPr>
        <sz val="10"/>
        <rFont val="Arial"/>
        <family val="2"/>
      </rPr>
      <t xml:space="preserve">on vertical stab tab, </t>
    </r>
    <r>
      <rPr>
        <i/>
        <sz val="10"/>
        <rFont val="Arial"/>
        <family val="2"/>
      </rPr>
      <t>main wing area</t>
    </r>
    <r>
      <rPr>
        <sz val="10"/>
        <rFont val="Arial"/>
        <family val="2"/>
      </rPr>
      <t xml:space="preserve">, </t>
    </r>
    <r>
      <rPr>
        <i/>
        <sz val="10"/>
        <rFont val="Arial"/>
        <family val="2"/>
      </rPr>
      <t>vertical tail arm</t>
    </r>
    <r>
      <rPr>
        <sz val="10"/>
        <rFont val="Arial"/>
        <family val="2"/>
      </rPr>
      <t xml:space="preserve"> and </t>
    </r>
    <r>
      <rPr>
        <i/>
        <sz val="10"/>
        <rFont val="Arial"/>
        <family val="2"/>
      </rPr>
      <t xml:space="preserve">main wing span </t>
    </r>
    <r>
      <rPr>
        <sz val="10"/>
        <rFont val="Arial"/>
        <family val="2"/>
      </rPr>
      <t>on wing tab.</t>
    </r>
  </si>
  <si>
    <t>The dihedral angle of the wing provides some degree of natural spiral stability.  A spirally-unstable aircraft tends to constantly increase its bank angle at some rate, and therefore requires constant attention by the pilot. Conversely, a spirally-stable aircraft will tend to roll upright with no control input from the pilot, and thus make the aircraft easier to fly.</t>
  </si>
  <si>
    <r>
      <rPr>
        <sz val="10"/>
        <rFont val="Arial"/>
        <family val="2"/>
      </rPr>
      <t xml:space="preserve">Affected by </t>
    </r>
    <r>
      <rPr>
        <i/>
        <sz val="10"/>
        <rFont val="Arial"/>
        <family val="2"/>
      </rPr>
      <t>CL Therm</t>
    </r>
    <r>
      <rPr>
        <sz val="10"/>
        <rFont val="Arial"/>
        <family val="2"/>
      </rPr>
      <t xml:space="preserve"> and </t>
    </r>
    <r>
      <rPr>
        <i/>
        <sz val="10"/>
        <rFont val="Arial"/>
        <family val="2"/>
      </rPr>
      <t>EDA</t>
    </r>
    <r>
      <rPr>
        <sz val="10"/>
        <rFont val="Arial"/>
        <family val="2"/>
      </rPr>
      <t xml:space="preserve"> on this tab, </t>
    </r>
    <r>
      <rPr>
        <i/>
        <sz val="10"/>
        <rFont val="Arial"/>
        <family val="2"/>
      </rPr>
      <t>Vertical Tail Area</t>
    </r>
    <r>
      <rPr>
        <sz val="10"/>
        <rFont val="Arial"/>
        <family val="2"/>
      </rPr>
      <t xml:space="preserve"> on </t>
    </r>
    <r>
      <rPr>
        <i/>
        <sz val="10"/>
        <rFont val="Arial"/>
        <family val="2"/>
      </rPr>
      <t>Vertical Stab</t>
    </r>
    <r>
      <rPr>
        <sz val="10"/>
        <rFont val="Arial"/>
        <family val="2"/>
      </rPr>
      <t xml:space="preserve"> tab and </t>
    </r>
    <r>
      <rPr>
        <i/>
        <sz val="10"/>
        <rFont val="Arial"/>
        <family val="2"/>
      </rPr>
      <t>Vertical Stabilizer moment</t>
    </r>
    <r>
      <rPr>
        <sz val="10"/>
        <rFont val="Arial"/>
        <family val="2"/>
      </rPr>
      <t xml:space="preserve"> and </t>
    </r>
    <r>
      <rPr>
        <i/>
        <sz val="10"/>
        <rFont val="Arial"/>
        <family val="2"/>
      </rPr>
      <t>Main wing span</t>
    </r>
    <r>
      <rPr>
        <sz val="10"/>
        <rFont val="Arial"/>
        <family val="2"/>
      </rPr>
      <t xml:space="preserve"> on wing tab.</t>
    </r>
  </si>
  <si>
    <t>On rudder/elevator aircraft, the rudder acts to generate a sideslip angle, which then combines with dihedral to generate a roll moment and thus provide rollcontrol.</t>
  </si>
  <si>
    <t>EDA is a major factor in roll response, roll rate and spiral stability. For a rudder and elevator model at a given airspeed and yaw angle, the steady-state roll rate will be proportional to EDA.</t>
  </si>
  <si>
    <r>
      <t xml:space="preserve">0.3 - 0.6
</t>
    </r>
    <r>
      <rPr>
        <b/>
        <sz val="10"/>
        <rFont val="Arial"/>
        <family val="2"/>
      </rPr>
      <t>Mark Drela Recommends:</t>
    </r>
    <r>
      <rPr>
        <sz val="10"/>
        <rFont val="Arial"/>
        <family val="2"/>
      </rPr>
      <t xml:space="preserve">
0.4 - 0.45 Polyhedral Glider
0.3 - 0.6 Aileron TD Glider
</t>
    </r>
  </si>
  <si>
    <r>
      <t xml:space="preserve">0.02 - 0.04 for Polyhedral Glider
0.015 - 0.025 for Aileron Thermal Duration Glider
</t>
    </r>
    <r>
      <rPr>
        <b/>
        <sz val="10"/>
        <rFont val="Arial"/>
        <family val="2"/>
      </rPr>
      <t>Mark Drela Recommends:</t>
    </r>
    <r>
      <rPr>
        <sz val="10"/>
        <rFont val="Arial"/>
        <family val="2"/>
      </rPr>
      <t xml:space="preserve">
&gt;0.03 Polyhedral Glider
&gt;0.025 Aileron TD Glider
0.05 - 0.06 Discus Launch Glider
</t>
    </r>
  </si>
  <si>
    <t>12 for a Polyhedral Glider                              6 for an Aileron Thermal Duration Glider</t>
  </si>
  <si>
    <r>
      <t>Affected</t>
    </r>
    <r>
      <rPr>
        <i/>
        <sz val="10"/>
        <rFont val="Arial"/>
        <family val="2"/>
      </rPr>
      <t xml:space="preserve"> by Main wing dihedral</t>
    </r>
    <r>
      <rPr>
        <sz val="10"/>
        <rFont val="Arial"/>
        <family val="2"/>
      </rPr>
      <t xml:space="preserve"> and </t>
    </r>
    <r>
      <rPr>
        <i/>
        <sz val="10"/>
        <rFont val="Arial"/>
        <family val="2"/>
      </rPr>
      <t xml:space="preserve">main wing span </t>
    </r>
    <r>
      <rPr>
        <sz val="10"/>
        <rFont val="Arial"/>
        <family val="2"/>
      </rPr>
      <t>on main wing tab.</t>
    </r>
  </si>
  <si>
    <r>
      <t xml:space="preserve">Affected by </t>
    </r>
    <r>
      <rPr>
        <i/>
        <sz val="10"/>
        <rFont val="Arial"/>
        <family val="2"/>
      </rPr>
      <t>Spiral Stability (B)</t>
    </r>
    <r>
      <rPr>
        <sz val="10"/>
        <rFont val="Arial"/>
        <family val="2"/>
      </rPr>
      <t xml:space="preserve"> and </t>
    </r>
    <r>
      <rPr>
        <i/>
        <sz val="10"/>
        <rFont val="Arial"/>
        <family val="2"/>
      </rPr>
      <t>Equivalent Dihedral Angle (EDA)</t>
    </r>
    <r>
      <rPr>
        <sz val="10"/>
        <rFont val="Arial"/>
        <family val="2"/>
      </rPr>
      <t xml:space="preserve"> on this tab.</t>
    </r>
  </si>
  <si>
    <t>Equivalent Dihedral Angle 
(EDA=)</t>
  </si>
  <si>
    <r>
      <t xml:space="preserve">Dihedral Sizing Criteria -        </t>
    </r>
    <r>
      <rPr>
        <sz val="10"/>
        <rFont val="Arial"/>
        <family val="2"/>
      </rPr>
      <t>Spiral Stability</t>
    </r>
    <r>
      <rPr>
        <b/>
        <sz val="10"/>
        <rFont val="Arial"/>
        <family val="2"/>
      </rPr>
      <t xml:space="preserve">
(B=)</t>
    </r>
  </si>
  <si>
    <r>
      <t xml:space="preserve">Horizontal Tail Sizing Criteria (Volume) -        </t>
    </r>
    <r>
      <rPr>
        <sz val="10"/>
        <rFont val="Arial"/>
        <family val="2"/>
      </rPr>
      <t xml:space="preserve">Pitch Stability   </t>
    </r>
    <r>
      <rPr>
        <b/>
        <sz val="10"/>
        <rFont val="Arial"/>
        <family val="2"/>
      </rPr>
      <t xml:space="preserve">
(Vh=)</t>
    </r>
  </si>
  <si>
    <r>
      <t xml:space="preserve">Vertical Tail Sizing Criteria (Volume) -        </t>
    </r>
    <r>
      <rPr>
        <sz val="10"/>
        <rFont val="Arial"/>
        <family val="2"/>
      </rPr>
      <t xml:space="preserve">Yaw Damping and Rudder Power </t>
    </r>
    <r>
      <rPr>
        <b/>
        <sz val="10"/>
        <rFont val="Arial"/>
        <family val="2"/>
      </rPr>
      <t xml:space="preserve">
(Vv=)</t>
    </r>
  </si>
  <si>
    <r>
      <t xml:space="preserve">Dihedral Sizing - </t>
    </r>
    <r>
      <rPr>
        <sz val="10"/>
        <rFont val="Arial"/>
        <family val="2"/>
      </rPr>
      <t xml:space="preserve">Roll Control </t>
    </r>
    <r>
      <rPr>
        <b/>
        <sz val="10"/>
        <rFont val="Arial"/>
        <family val="2"/>
      </rPr>
      <t xml:space="preserve">
(VvB=)</t>
    </r>
  </si>
  <si>
    <t>Spiral Stability (B)</t>
  </si>
  <si>
    <t>Dihedral Sizing - Roll Control (VvB)</t>
  </si>
  <si>
    <r>
      <rPr>
        <b/>
        <i/>
        <sz val="10"/>
        <rFont val="Arial"/>
        <family val="2"/>
      </rPr>
      <t>Note:</t>
    </r>
    <r>
      <rPr>
        <b/>
        <sz val="10"/>
        <rFont val="Arial"/>
        <family val="2"/>
      </rPr>
      <t xml:space="preserve">  Balance model forward of this location</t>
    </r>
  </si>
  <si>
    <r>
      <rPr>
        <b/>
        <i/>
        <sz val="12"/>
        <rFont val="Arial"/>
        <family val="2"/>
      </rPr>
      <t xml:space="preserve">Note: </t>
    </r>
    <r>
      <rPr>
        <b/>
        <sz val="12"/>
        <rFont val="Arial"/>
        <family val="2"/>
      </rPr>
      <t xml:space="preserve"> </t>
    </r>
    <r>
      <rPr>
        <b/>
        <sz val="12"/>
        <color indexed="12"/>
        <rFont val="Arial"/>
        <family val="2"/>
      </rPr>
      <t>Blue</t>
    </r>
    <r>
      <rPr>
        <b/>
        <sz val="12"/>
        <rFont val="Arial"/>
        <family val="2"/>
      </rPr>
      <t xml:space="preserve"> Dash is the balance location with the static margin specified in Row 36</t>
    </r>
  </si>
  <si>
    <t xml:space="preserve">          component as is popular in Discus Launch Gliders (DLG's).</t>
  </si>
  <si>
    <r>
      <t xml:space="preserve">            </t>
    </r>
    <r>
      <rPr>
        <b/>
        <sz val="12"/>
        <color indexed="12"/>
        <rFont val="Arial"/>
        <family val="2"/>
      </rPr>
      <t>Blue</t>
    </r>
    <r>
      <rPr>
        <b/>
        <sz val="12"/>
        <rFont val="Arial"/>
        <family val="2"/>
      </rPr>
      <t xml:space="preserve"> line is MAC location</t>
    </r>
  </si>
  <si>
    <r>
      <t xml:space="preserve">            Where </t>
    </r>
    <r>
      <rPr>
        <b/>
        <sz val="12"/>
        <color indexed="12"/>
        <rFont val="Arial"/>
        <family val="2"/>
      </rPr>
      <t>Blue</t>
    </r>
    <r>
      <rPr>
        <b/>
        <sz val="12"/>
        <rFont val="Arial"/>
        <family val="2"/>
      </rPr>
      <t xml:space="preserve"> MAC line and </t>
    </r>
    <r>
      <rPr>
        <b/>
        <sz val="12"/>
        <color indexed="10"/>
        <rFont val="Arial"/>
        <family val="2"/>
      </rPr>
      <t>Red</t>
    </r>
    <r>
      <rPr>
        <b/>
        <sz val="12"/>
        <rFont val="Arial"/>
        <family val="2"/>
      </rPr>
      <t xml:space="preserve"> dashed line intersect is the Aerodynamic Center of the Wing</t>
    </r>
  </si>
  <si>
    <r>
      <t xml:space="preserve">  Data out is only as accurate as data in.  This is not a thousand dollar program that takes into effect all of the complexities of flight in determining the results.  The use of these predictive values work well enough to build and fly a better model airplane.  It has proven to be quite accurate and is better than guessing.  However, further flight testing and trimming is required.  Before you change a manufacturer’s recommendation please consult someone who has flown the model.  Please don't hesitate to email for questions, concerns or suggestions.  The author is not responsible for the loss of your model.   </t>
    </r>
    <r>
      <rPr>
        <b/>
        <i/>
        <sz val="11"/>
        <color indexed="8"/>
        <rFont val="Arial"/>
        <family val="2"/>
      </rPr>
      <t/>
    </r>
  </si>
  <si>
    <t xml:space="preserve">  Hosting of the this spreadsheet on a website is only authorized with the permission of the author/designer.  Email: suterc@msn.com </t>
  </si>
  <si>
    <r>
      <t xml:space="preserve">            </t>
    </r>
    <r>
      <rPr>
        <b/>
        <sz val="12"/>
        <color indexed="10"/>
        <rFont val="Arial"/>
        <family val="2"/>
      </rPr>
      <t>Red</t>
    </r>
    <r>
      <rPr>
        <b/>
        <sz val="12"/>
        <rFont val="Arial"/>
        <family val="2"/>
      </rPr>
      <t xml:space="preserve"> Triangle is Aircraft's Neutral Point at Root Leading Edge</t>
    </r>
  </si>
  <si>
    <r>
      <t xml:space="preserve">            </t>
    </r>
    <r>
      <rPr>
        <b/>
        <sz val="12"/>
        <color indexed="12"/>
        <rFont val="Arial"/>
        <family val="2"/>
      </rPr>
      <t>Blue</t>
    </r>
    <r>
      <rPr>
        <b/>
        <sz val="12"/>
        <color indexed="62"/>
        <rFont val="Arial"/>
        <family val="2"/>
      </rPr>
      <t xml:space="preserve"> </t>
    </r>
    <r>
      <rPr>
        <b/>
        <sz val="12"/>
        <rFont val="Arial"/>
        <family val="2"/>
      </rPr>
      <t>Line is the MAC location</t>
    </r>
  </si>
  <si>
    <r>
      <t xml:space="preserve">            Where </t>
    </r>
    <r>
      <rPr>
        <b/>
        <sz val="12"/>
        <color indexed="12"/>
        <rFont val="Arial"/>
        <family val="2"/>
      </rPr>
      <t>Blue</t>
    </r>
    <r>
      <rPr>
        <b/>
        <sz val="12"/>
        <rFont val="Arial"/>
        <family val="2"/>
      </rPr>
      <t xml:space="preserve"> MAC line and </t>
    </r>
    <r>
      <rPr>
        <b/>
        <sz val="12"/>
        <color indexed="10"/>
        <rFont val="Arial"/>
        <family val="2"/>
      </rPr>
      <t>Red</t>
    </r>
    <r>
      <rPr>
        <b/>
        <sz val="12"/>
        <rFont val="Arial"/>
        <family val="2"/>
      </rPr>
      <t xml:space="preserve"> dashed line intersect is the Neutral Point of the Wing</t>
    </r>
  </si>
  <si>
    <r>
      <t xml:space="preserve">  </t>
    </r>
    <r>
      <rPr>
        <b/>
        <sz val="10"/>
        <rFont val="Arial"/>
        <family val="2"/>
      </rPr>
      <t>Note:</t>
    </r>
    <r>
      <rPr>
        <sz val="10"/>
        <rFont val="Arial"/>
        <family val="2"/>
      </rPr>
      <t xml:space="preserve">  For the Neutral Point calculations to be accurate the </t>
    </r>
    <r>
      <rPr>
        <i/>
        <sz val="10"/>
        <rFont val="Arial"/>
        <family val="2"/>
      </rPr>
      <t xml:space="preserve">Wing </t>
    </r>
    <r>
      <rPr>
        <sz val="10"/>
        <rFont val="Arial"/>
        <family val="2"/>
      </rPr>
      <t>and Horizontal</t>
    </r>
    <r>
      <rPr>
        <i/>
        <sz val="10"/>
        <rFont val="Arial"/>
        <family val="2"/>
      </rPr>
      <t xml:space="preserve"> Stabilizer </t>
    </r>
    <r>
      <rPr>
        <sz val="10"/>
        <rFont val="Arial"/>
        <family val="2"/>
      </rPr>
      <t>tab requires completion for the horiztonal stabilizer.</t>
    </r>
  </si>
  <si>
    <r>
      <t xml:space="preserve">  This tab is only required for the Spiral Stability and EDA values on the </t>
    </r>
    <r>
      <rPr>
        <i/>
        <sz val="10"/>
        <rFont val="Arial"/>
        <family val="2"/>
      </rPr>
      <t>Tail Sizing Checks</t>
    </r>
    <r>
      <rPr>
        <sz val="10"/>
        <rFont val="Arial"/>
        <family val="2"/>
      </rPr>
      <t xml:space="preserve"> Tab.</t>
    </r>
  </si>
  <si>
    <r>
      <rPr>
        <b/>
        <sz val="12"/>
        <rFont val="Arial"/>
        <family val="2"/>
      </rPr>
      <t xml:space="preserve"> </t>
    </r>
    <r>
      <rPr>
        <b/>
        <i/>
        <sz val="12"/>
        <color indexed="10"/>
        <rFont val="Arial"/>
        <family val="2"/>
      </rPr>
      <t>Note:</t>
    </r>
    <r>
      <rPr>
        <b/>
        <sz val="10"/>
        <color indexed="10"/>
        <rFont val="Arial"/>
        <family val="2"/>
      </rPr>
      <t xml:space="preserve"> </t>
    </r>
    <r>
      <rPr>
        <b/>
        <sz val="10"/>
        <rFont val="Arial"/>
        <family val="2"/>
      </rPr>
      <t xml:space="preserve">Use only the top portion unless your vertical stabilizer has a top and bottom </t>
    </r>
  </si>
  <si>
    <r>
      <rPr>
        <b/>
        <i/>
        <sz val="11"/>
        <color indexed="10"/>
        <rFont val="Tahoma"/>
        <family val="2"/>
      </rPr>
      <t>Warning!:</t>
    </r>
    <r>
      <rPr>
        <i/>
        <sz val="11"/>
        <rFont val="Tahoma"/>
        <family val="2"/>
      </rPr>
      <t xml:space="preserve"> For the first flight of a model the red Triangle, (neutral point of the plane) should NEVER be forward of the blue Line, (CG).</t>
    </r>
  </si>
  <si>
    <t xml:space="preserve">  There are to many others to name that have answered my questions throughout the years.  Many have come from the internet newsgroups.  I highly recommend reading these groups and other periodicals as there is a wealth of information on the design and flying of R/C sailplanes.</t>
  </si>
  <si>
    <t xml:space="preserve">  I started this spreadsheet in the early 1990's as I got interested in sailplanes, I was previously a "wet" flyer.  As I trained for my full size fixed wing pilots certificate I found that I enjoyed the learning of the aerodynamics involved in what makes airplanes fly.  Reading Martin's book I thought it'd be nice to input this data for quick comparison between models.  It's grown into what you see today.  All I have done is take others knowledge and placed their formulas into a spreadsheet.  </t>
  </si>
  <si>
    <t>0.02 - 0.04 Poly Glider                 0.015 - 0.025 Aileron TD Glider                              0.05 - 0.06 Discus Launch Glider</t>
  </si>
  <si>
    <t>4.0 - 6.0 Poly Glider                           2.0 - 5.0 Aileron TD Glider</t>
  </si>
  <si>
    <t>12 - Poly Glider                                  6 - Aileron TD Glider</t>
  </si>
  <si>
    <t xml:space="preserve">    This is the aerodynamic center of the whole aircraft.  It's the position through which all net lift acts</t>
  </si>
  <si>
    <t xml:space="preserve">  Sweep Angle</t>
  </si>
  <si>
    <t>degrees</t>
  </si>
  <si>
    <t>HERK STOKELY'S HANDLAUNCH FLYING WING</t>
  </si>
  <si>
    <t>SoarTech Aero Publications</t>
  </si>
  <si>
    <t>UIUC Applied Aerodynamics Group</t>
  </si>
  <si>
    <t>Cl</t>
  </si>
  <si>
    <t xml:space="preserve">  Static Margin Specified</t>
  </si>
  <si>
    <t>%</t>
  </si>
  <si>
    <t xml:space="preserve">  Balance point with above Static Margin</t>
  </si>
  <si>
    <t xml:space="preserve">XFLR5 Airfoil and Wing Analysis Tool </t>
  </si>
  <si>
    <r>
      <t xml:space="preserve"> - If you see a </t>
    </r>
    <r>
      <rPr>
        <b/>
        <sz val="10"/>
        <color indexed="10"/>
        <rFont val="Arial"/>
        <family val="2"/>
      </rPr>
      <t>Red</t>
    </r>
    <r>
      <rPr>
        <sz val="10"/>
        <rFont val="Arial"/>
        <family val="2"/>
      </rPr>
      <t xml:space="preserve"> triangle in the upper right of a rectangle, hover your mouse over it to read the instruction.</t>
    </r>
  </si>
  <si>
    <t>Static Margin</t>
  </si>
  <si>
    <t>Static Margin Converter</t>
  </si>
  <si>
    <t>0.7 big glider                                     0.6 DLG size</t>
  </si>
  <si>
    <t>0.10 = Marginal Roll Control                   0.20 = Very Effective Roll Control</t>
  </si>
  <si>
    <r>
      <t xml:space="preserve">&gt;5 Stable
=5 Neutral
&lt;5 Unstable
4.0 - 6.0 for Polyhedral Glider
2.0 - 5.0 for Aileron Thermal Duration Glider
</t>
    </r>
    <r>
      <rPr>
        <b/>
        <sz val="10"/>
        <rFont val="Arial"/>
        <family val="2"/>
      </rPr>
      <t>Mark Drela Recommends:</t>
    </r>
    <r>
      <rPr>
        <sz val="10"/>
        <rFont val="Arial"/>
        <family val="2"/>
      </rPr>
      <t xml:space="preserve">
5.0 - 5.5 for Polyhedral Glider
&gt;3.0 for Aileron TD Glider</t>
    </r>
  </si>
  <si>
    <t xml:space="preserve">  Effective Span</t>
  </si>
  <si>
    <t xml:space="preserve">  Effective Area</t>
  </si>
  <si>
    <t xml:space="preserve">  Effective Loading</t>
  </si>
  <si>
    <t xml:space="preserve">  Effective Aspect Ratio</t>
  </si>
  <si>
    <t>Effective Wing Results</t>
  </si>
  <si>
    <t xml:space="preserve">  Aspect Ratio</t>
  </si>
  <si>
    <t>Reference</t>
  </si>
  <si>
    <t>mm</t>
  </si>
  <si>
    <t>Distance (mm)</t>
  </si>
  <si>
    <t>Model Weight (grams)</t>
  </si>
  <si>
    <t>kph</t>
  </si>
  <si>
    <r>
      <t>dm</t>
    </r>
    <r>
      <rPr>
        <vertAlign val="superscript"/>
        <sz val="10"/>
        <rFont val="Arial"/>
        <family val="2"/>
      </rPr>
      <t>2</t>
    </r>
  </si>
  <si>
    <r>
      <t>gr/dm</t>
    </r>
    <r>
      <rPr>
        <vertAlign val="superscript"/>
        <sz val="10"/>
        <rFont val="Arial"/>
        <family val="2"/>
      </rPr>
      <t>2</t>
    </r>
  </si>
  <si>
    <t>mm aft of root leading edge</t>
  </si>
  <si>
    <t>Jaap Braam</t>
  </si>
  <si>
    <t xml:space="preserve">  Thanks to Jaap Braam for the metric conversions.</t>
  </si>
  <si>
    <t xml:space="preserve"> - The only measurements required are in "Millimeters" and "Grams".</t>
  </si>
  <si>
    <t>Current Version July 2009.  Pass Solo all letters.</t>
  </si>
  <si>
    <t>in.</t>
  </si>
  <si>
    <t>in</t>
  </si>
  <si>
    <t>inches aft of root leading edge</t>
  </si>
  <si>
    <t>0.10 = Marginal Roll Control                0.20 = Very Effective Roll Control</t>
  </si>
  <si>
    <r>
      <t>in</t>
    </r>
    <r>
      <rPr>
        <vertAlign val="superscript"/>
        <sz val="10"/>
        <rFont val="Arial"/>
        <family val="2"/>
      </rPr>
      <t>2</t>
    </r>
  </si>
  <si>
    <r>
      <t>oz/ft</t>
    </r>
    <r>
      <rPr>
        <vertAlign val="superscript"/>
        <sz val="10"/>
        <rFont val="Arial"/>
        <family val="2"/>
      </rPr>
      <t>2</t>
    </r>
  </si>
  <si>
    <t>Metric</t>
  </si>
  <si>
    <t>Decimal</t>
  </si>
  <si>
    <t xml:space="preserve">  Taper Ratio</t>
  </si>
  <si>
    <t xml:space="preserve">  Percent of Wing Area</t>
  </si>
  <si>
    <t xml:space="preserve">  Sweep Angle (leading edge)</t>
  </si>
  <si>
    <t xml:space="preserve">  MAC for this panel (length)</t>
  </si>
  <si>
    <t xml:space="preserve">  Distance from Wing to Horiz Stab 1/4 chord</t>
  </si>
  <si>
    <t xml:space="preserve">  Taper Ratio (bottom panel)</t>
  </si>
  <si>
    <t xml:space="preserve">  Taper Ratio (upper panel)</t>
  </si>
  <si>
    <t xml:space="preserve">     Reynolds Number</t>
  </si>
  <si>
    <t>Airspeed</t>
  </si>
  <si>
    <t>Result</t>
  </si>
  <si>
    <t>Speed, G and Cl Calc</t>
  </si>
  <si>
    <t>Specify Speed</t>
  </si>
  <si>
    <t xml:space="preserve">Min (Stall) Airspeed </t>
  </si>
  <si>
    <t>Max Airspeed</t>
  </si>
  <si>
    <t>G-load at Max Airspeed</t>
  </si>
  <si>
    <t>G</t>
  </si>
  <si>
    <t>Specify Cl</t>
  </si>
  <si>
    <t>Min (Stall) Airspeed</t>
  </si>
  <si>
    <t xml:space="preserve">             </t>
  </si>
  <si>
    <r>
      <rPr>
        <b/>
        <i/>
        <sz val="11"/>
        <rFont val="Arial"/>
        <family val="2"/>
      </rPr>
      <t xml:space="preserve">  </t>
    </r>
    <r>
      <rPr>
        <b/>
        <i/>
        <sz val="11"/>
        <color indexed="12"/>
        <rFont val="Arial"/>
        <family val="2"/>
      </rPr>
      <t>Note:</t>
    </r>
    <r>
      <rPr>
        <b/>
        <i/>
        <sz val="11"/>
        <rFont val="Arial"/>
        <family val="2"/>
      </rPr>
      <t xml:space="preserve"> </t>
    </r>
    <r>
      <rPr>
        <sz val="10"/>
        <rFont val="Arial"/>
        <family val="2"/>
      </rPr>
      <t>All panel spans are measured perpendicular to the aircraft centerline</t>
    </r>
  </si>
  <si>
    <t>Panel 1</t>
  </si>
  <si>
    <t>Panel 2</t>
  </si>
  <si>
    <t>Panel 3</t>
  </si>
  <si>
    <t>Panel 4</t>
  </si>
  <si>
    <t>Span length</t>
  </si>
  <si>
    <t>Dihedral (degrees)</t>
  </si>
  <si>
    <t>Height</t>
  </si>
  <si>
    <t xml:space="preserve">  Distance between wing and Tail .25% MAC's</t>
  </si>
  <si>
    <t xml:space="preserve">     Dihedral Converter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</si>
</sst>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00_)"/>
    <numFmt numFmtId="166" formatCode="0.000"/>
    <numFmt numFmtId="167" formatCode="0.0"/>
  </numFmts>
  <fonts count="73" x14ac:knownFonts="1">
    <font>
      <sz val="10"/>
      <name val="Courier"/>
    </font>
    <font>
      <sz val="10"/>
      <name val="Arial"/>
      <family val="2"/>
    </font>
    <font>
      <sz val="10"/>
      <name val="Arial"/>
      <family val="2"/>
    </font>
    <font>
      <b/>
      <sz val="14"/>
      <color indexed="16"/>
      <name val="Arial"/>
      <family val="2"/>
    </font>
    <font>
      <sz val="10"/>
      <color indexed="39"/>
      <name val="Arial"/>
      <family val="2"/>
    </font>
    <font>
      <b/>
      <sz val="10"/>
      <color indexed="12"/>
      <name val="Arial"/>
      <family val="2"/>
    </font>
    <font>
      <sz val="10"/>
      <color indexed="12"/>
      <name val="Arial"/>
      <family val="2"/>
    </font>
    <font>
      <b/>
      <sz val="10"/>
      <name val="Arial"/>
      <family val="2"/>
    </font>
    <font>
      <b/>
      <sz val="12"/>
      <color indexed="12"/>
      <name val="Arial"/>
      <family val="2"/>
    </font>
    <font>
      <sz val="10"/>
      <color indexed="12"/>
      <name val="Courier"/>
      <family val="3"/>
    </font>
    <font>
      <sz val="10"/>
      <color indexed="10"/>
      <name val="Arial"/>
      <family val="2"/>
    </font>
    <font>
      <b/>
      <sz val="8"/>
      <color indexed="81"/>
      <name val="Tahoma"/>
      <family val="2"/>
    </font>
    <font>
      <u/>
      <sz val="8"/>
      <color indexed="12"/>
      <name val="Courier"/>
      <family val="3"/>
    </font>
    <font>
      <b/>
      <sz val="14"/>
      <name val="Arial"/>
      <family val="2"/>
    </font>
    <font>
      <sz val="8"/>
      <color indexed="81"/>
      <name val="Tahoma"/>
      <family val="2"/>
    </font>
    <font>
      <sz val="9"/>
      <name val="Comic Sans MS"/>
      <family val="4"/>
    </font>
    <font>
      <sz val="9"/>
      <color indexed="10"/>
      <name val="Comic Sans MS"/>
      <family val="4"/>
    </font>
    <font>
      <sz val="9"/>
      <color indexed="12"/>
      <name val="Comic Sans MS"/>
      <family val="4"/>
    </font>
    <font>
      <b/>
      <sz val="9"/>
      <name val="Comic Sans MS"/>
      <family val="4"/>
    </font>
    <font>
      <sz val="10"/>
      <color indexed="8"/>
      <name val="Arial"/>
      <family val="2"/>
    </font>
    <font>
      <sz val="10"/>
      <color indexed="12"/>
      <name val="Arial"/>
      <family val="2"/>
    </font>
    <font>
      <b/>
      <sz val="10"/>
      <color indexed="81"/>
      <name val="Tahoma"/>
      <family val="2"/>
    </font>
    <font>
      <b/>
      <sz val="18"/>
      <color indexed="17"/>
      <name val="Arial"/>
      <family val="2"/>
    </font>
    <font>
      <i/>
      <sz val="10"/>
      <name val="Arial"/>
      <family val="2"/>
    </font>
    <font>
      <sz val="10"/>
      <name val="Comic Sans MS"/>
      <family val="4"/>
    </font>
    <font>
      <b/>
      <sz val="14"/>
      <color indexed="12"/>
      <name val="Arial"/>
      <family val="2"/>
    </font>
    <font>
      <b/>
      <sz val="18"/>
      <color indexed="48"/>
      <name val="Arial"/>
      <family val="2"/>
    </font>
    <font>
      <b/>
      <sz val="10"/>
      <color indexed="12"/>
      <name val="Tahoma"/>
      <family val="2"/>
    </font>
    <font>
      <b/>
      <sz val="10"/>
      <color indexed="10"/>
      <name val="Tahoma"/>
      <family val="2"/>
    </font>
    <font>
      <sz val="14"/>
      <name val="Arial"/>
      <family val="2"/>
    </font>
    <font>
      <sz val="7"/>
      <name val="Arial"/>
      <family val="2"/>
    </font>
    <font>
      <sz val="8"/>
      <name val="Courier"/>
      <family val="3"/>
    </font>
    <font>
      <b/>
      <sz val="12"/>
      <name val="Arial"/>
      <family val="2"/>
    </font>
    <font>
      <b/>
      <sz val="12"/>
      <color indexed="10"/>
      <name val="Arial"/>
      <family val="2"/>
    </font>
    <font>
      <sz val="12"/>
      <name val="Arial"/>
      <family val="2"/>
    </font>
    <font>
      <sz val="10"/>
      <name val="Courier"/>
      <family val="3"/>
    </font>
    <font>
      <b/>
      <sz val="10"/>
      <color indexed="10"/>
      <name val="Arial"/>
      <family val="2"/>
    </font>
    <font>
      <sz val="10"/>
      <color indexed="10"/>
      <name val="Arial"/>
      <family val="2"/>
    </font>
    <font>
      <sz val="10"/>
      <color indexed="8"/>
      <name val="Verdana"/>
      <family val="2"/>
    </font>
    <font>
      <b/>
      <sz val="12"/>
      <color indexed="62"/>
      <name val="Arial"/>
      <family val="2"/>
    </font>
    <font>
      <shadow/>
      <sz val="24"/>
      <color indexed="31"/>
      <name val="Arial Black"/>
      <family val="2"/>
    </font>
    <font>
      <sz val="11"/>
      <name val="Arial"/>
      <family val="2"/>
    </font>
    <font>
      <sz val="16"/>
      <name val="Arial"/>
      <family val="2"/>
    </font>
    <font>
      <sz val="7.5"/>
      <name val="Arial"/>
      <family val="2"/>
    </font>
    <font>
      <b/>
      <i/>
      <sz val="11"/>
      <color indexed="8"/>
      <name val="Arial"/>
      <family val="2"/>
    </font>
    <font>
      <b/>
      <i/>
      <sz val="10"/>
      <name val="Arial"/>
      <family val="2"/>
    </font>
    <font>
      <b/>
      <i/>
      <sz val="12"/>
      <name val="Arial"/>
      <family val="2"/>
    </font>
    <font>
      <b/>
      <sz val="11"/>
      <name val="Arial"/>
      <family val="2"/>
    </font>
    <font>
      <b/>
      <i/>
      <sz val="12"/>
      <color indexed="10"/>
      <name val="Arial"/>
      <family val="2"/>
    </font>
    <font>
      <i/>
      <sz val="11"/>
      <name val="Tahoma"/>
      <family val="2"/>
    </font>
    <font>
      <b/>
      <i/>
      <sz val="11"/>
      <color indexed="10"/>
      <name val="Tahoma"/>
      <family val="2"/>
    </font>
    <font>
      <b/>
      <sz val="11"/>
      <color indexed="12"/>
      <name val="Arial"/>
      <family val="2"/>
    </font>
    <font>
      <sz val="12"/>
      <color indexed="12"/>
      <name val="Comic Sans MS"/>
      <family val="4"/>
    </font>
    <font>
      <sz val="10"/>
      <color indexed="10"/>
      <name val="Arial"/>
      <family val="2"/>
    </font>
    <font>
      <b/>
      <sz val="11"/>
      <color indexed="12"/>
      <name val="Arial"/>
      <family val="2"/>
    </font>
    <font>
      <u/>
      <sz val="10"/>
      <color indexed="12"/>
      <name val="Arial"/>
      <family val="2"/>
    </font>
    <font>
      <b/>
      <sz val="15"/>
      <color indexed="12"/>
      <name val="Courier"/>
      <family val="3"/>
    </font>
    <font>
      <b/>
      <sz val="24"/>
      <name val="Courier"/>
      <family val="3"/>
    </font>
    <font>
      <b/>
      <sz val="12"/>
      <color indexed="12"/>
      <name val="Arial"/>
      <family val="2"/>
    </font>
    <font>
      <b/>
      <sz val="18"/>
      <color indexed="10"/>
      <name val="Arial"/>
      <family val="2"/>
    </font>
    <font>
      <b/>
      <sz val="11"/>
      <color indexed="10"/>
      <name val="Arial"/>
      <family val="2"/>
    </font>
    <font>
      <sz val="10"/>
      <color indexed="10"/>
      <name val="Arial"/>
      <family val="2"/>
    </font>
    <font>
      <sz val="8"/>
      <name val="Courier"/>
      <family val="3"/>
    </font>
    <font>
      <b/>
      <i/>
      <sz val="10"/>
      <color indexed="81"/>
      <name val="Tahoma"/>
      <family val="2"/>
    </font>
    <font>
      <vertAlign val="superscript"/>
      <sz val="10"/>
      <name val="Arial"/>
      <family val="2"/>
    </font>
    <font>
      <b/>
      <sz val="9"/>
      <color indexed="81"/>
      <name val="Tahoma"/>
      <family val="2"/>
    </font>
    <font>
      <sz val="9"/>
      <color indexed="81"/>
      <name val="Tahoma"/>
      <family val="2"/>
    </font>
    <font>
      <b/>
      <sz val="10"/>
      <color indexed="12"/>
      <name val="Arial"/>
      <family val="2"/>
    </font>
    <font>
      <sz val="10"/>
      <color indexed="12"/>
      <name val="Courier"/>
      <family val="3"/>
    </font>
    <font>
      <b/>
      <sz val="12"/>
      <color indexed="12"/>
      <name val="Arial"/>
      <family val="2"/>
    </font>
    <font>
      <b/>
      <i/>
      <sz val="11"/>
      <name val="Arial"/>
      <family val="2"/>
    </font>
    <font>
      <b/>
      <i/>
      <sz val="11"/>
      <color indexed="12"/>
      <name val="Arial"/>
      <family val="2"/>
    </font>
    <font>
      <sz val="10"/>
      <color rgb="FF0000FF"/>
      <name val="Arial"/>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s>
  <cellStyleXfs count="9">
    <xf numFmtId="164" fontId="0" fillId="0" borderId="0"/>
    <xf numFmtId="0" fontId="1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 fillId="0" borderId="0"/>
    <xf numFmtId="164" fontId="35" fillId="0" borderId="0"/>
    <xf numFmtId="0" fontId="1" fillId="0" borderId="0"/>
    <xf numFmtId="0" fontId="1" fillId="0" borderId="0"/>
    <xf numFmtId="0" fontId="1" fillId="0" borderId="0"/>
    <xf numFmtId="0" fontId="1" fillId="0" borderId="0"/>
  </cellStyleXfs>
  <cellXfs count="310">
    <xf numFmtId="164" fontId="0" fillId="0" borderId="0" xfId="0"/>
    <xf numFmtId="164" fontId="2" fillId="0" borderId="0" xfId="0" applyNumberFormat="1" applyFont="1" applyBorder="1" applyAlignment="1" applyProtection="1">
      <alignment horizontal="left"/>
    </xf>
    <xf numFmtId="164" fontId="2" fillId="0" borderId="0" xfId="0" applyFont="1" applyBorder="1" applyProtection="1"/>
    <xf numFmtId="165" fontId="2" fillId="0" borderId="0" xfId="0" applyNumberFormat="1" applyFont="1" applyProtection="1"/>
    <xf numFmtId="164" fontId="13" fillId="0" borderId="0" xfId="0" applyNumberFormat="1" applyFont="1" applyBorder="1" applyAlignment="1" applyProtection="1"/>
    <xf numFmtId="164" fontId="2" fillId="0" borderId="0" xfId="0" applyFont="1" applyProtection="1"/>
    <xf numFmtId="0" fontId="15" fillId="0" borderId="0" xfId="6" applyFont="1" applyProtection="1"/>
    <xf numFmtId="0" fontId="16" fillId="0" borderId="0" xfId="6" applyFont="1" applyProtection="1"/>
    <xf numFmtId="0" fontId="6" fillId="0" borderId="0" xfId="7" applyFont="1" applyProtection="1"/>
    <xf numFmtId="164" fontId="20" fillId="0" borderId="0" xfId="7" applyNumberFormat="1" applyFont="1" applyAlignment="1" applyProtection="1">
      <alignment horizontal="left"/>
    </xf>
    <xf numFmtId="0" fontId="10" fillId="0" borderId="0" xfId="7" applyFont="1" applyProtection="1"/>
    <xf numFmtId="164" fontId="2" fillId="0" borderId="0" xfId="7" applyNumberFormat="1" applyFont="1" applyAlignment="1" applyProtection="1">
      <alignment horizontal="left"/>
    </xf>
    <xf numFmtId="0" fontId="24" fillId="0" borderId="0" xfId="6" applyFont="1" applyProtection="1"/>
    <xf numFmtId="164" fontId="26" fillId="0" borderId="0" xfId="0" applyNumberFormat="1" applyFont="1" applyAlignment="1" applyProtection="1">
      <alignment horizontal="center"/>
    </xf>
    <xf numFmtId="164" fontId="2" fillId="0" borderId="0" xfId="0" applyFont="1" applyAlignment="1" applyProtection="1">
      <alignment horizontal="center"/>
    </xf>
    <xf numFmtId="164" fontId="6" fillId="0" borderId="0" xfId="0" applyFont="1" applyAlignment="1" applyProtection="1">
      <alignment horizontal="center"/>
    </xf>
    <xf numFmtId="164" fontId="6" fillId="0" borderId="0" xfId="0" applyFont="1" applyBorder="1" applyAlignment="1" applyProtection="1">
      <alignment horizontal="center"/>
    </xf>
    <xf numFmtId="164" fontId="2" fillId="0" borderId="1" xfId="0" applyFont="1" applyBorder="1" applyProtection="1"/>
    <xf numFmtId="164" fontId="2" fillId="0" borderId="0" xfId="0" applyFont="1" applyAlignment="1" applyProtection="1">
      <alignment horizontal="left"/>
    </xf>
    <xf numFmtId="164" fontId="2" fillId="0" borderId="0" xfId="0" applyFont="1" applyAlignment="1" applyProtection="1"/>
    <xf numFmtId="164" fontId="2" fillId="0" borderId="0" xfId="0" applyFont="1" applyAlignment="1" applyProtection="1">
      <alignment horizontal="right"/>
    </xf>
    <xf numFmtId="167" fontId="2" fillId="0" borderId="0" xfId="0" applyNumberFormat="1" applyFont="1" applyAlignment="1" applyProtection="1">
      <alignment horizontal="center"/>
    </xf>
    <xf numFmtId="167" fontId="2" fillId="0" borderId="0" xfId="0" applyNumberFormat="1" applyFont="1" applyProtection="1"/>
    <xf numFmtId="164" fontId="22" fillId="0" borderId="0" xfId="0" applyFont="1" applyProtection="1"/>
    <xf numFmtId="164" fontId="8" fillId="0" borderId="0" xfId="0" applyFont="1" applyAlignment="1" applyProtection="1">
      <alignment horizontal="left"/>
    </xf>
    <xf numFmtId="164" fontId="2" fillId="0" borderId="2" xfId="0" applyFont="1" applyBorder="1" applyAlignment="1" applyProtection="1">
      <alignment horizontal="center"/>
    </xf>
    <xf numFmtId="164" fontId="2" fillId="0" borderId="0" xfId="0" applyFont="1" applyBorder="1" applyAlignment="1" applyProtection="1">
      <alignment horizontal="center"/>
    </xf>
    <xf numFmtId="164" fontId="2" fillId="0" borderId="2" xfId="0" applyFont="1" applyBorder="1" applyProtection="1"/>
    <xf numFmtId="164" fontId="6" fillId="0" borderId="2" xfId="0" applyFont="1" applyBorder="1" applyAlignment="1" applyProtection="1">
      <alignment horizontal="center"/>
    </xf>
    <xf numFmtId="164" fontId="2" fillId="0" borderId="3" xfId="0" applyFont="1" applyBorder="1" applyAlignment="1" applyProtection="1">
      <alignment horizontal="center"/>
    </xf>
    <xf numFmtId="164" fontId="2" fillId="0" borderId="1" xfId="0" applyFont="1" applyBorder="1" applyAlignment="1" applyProtection="1">
      <alignment horizontal="center"/>
    </xf>
    <xf numFmtId="164" fontId="7" fillId="0" borderId="0" xfId="0" applyFont="1" applyAlignment="1" applyProtection="1">
      <alignment horizontal="left"/>
    </xf>
    <xf numFmtId="164" fontId="9" fillId="0" borderId="0" xfId="7" applyNumberFormat="1" applyFont="1" applyFill="1" applyProtection="1"/>
    <xf numFmtId="164" fontId="5" fillId="0" borderId="0" xfId="0" applyFont="1" applyProtection="1"/>
    <xf numFmtId="164" fontId="9" fillId="0" borderId="0" xfId="0" applyFont="1" applyBorder="1" applyAlignment="1" applyProtection="1"/>
    <xf numFmtId="0" fontId="2" fillId="0" borderId="4" xfId="5" applyFont="1" applyBorder="1" applyAlignment="1" applyProtection="1">
      <alignment horizontal="left" vertical="center" wrapText="1"/>
    </xf>
    <xf numFmtId="0" fontId="2" fillId="0" borderId="0" xfId="5" applyFont="1" applyAlignment="1" applyProtection="1">
      <alignment horizontal="center" vertical="center" wrapText="1"/>
    </xf>
    <xf numFmtId="2" fontId="2" fillId="0" borderId="5" xfId="5" applyNumberFormat="1" applyFont="1" applyBorder="1" applyAlignment="1" applyProtection="1">
      <alignment horizontal="center" vertical="center" wrapText="1"/>
    </xf>
    <xf numFmtId="2" fontId="19" fillId="0" borderId="5" xfId="5" applyNumberFormat="1" applyFont="1" applyBorder="1" applyAlignment="1" applyProtection="1">
      <alignment horizontal="center" vertical="center" wrapText="1"/>
    </xf>
    <xf numFmtId="0" fontId="7" fillId="0" borderId="0" xfId="5" applyFont="1" applyAlignment="1" applyProtection="1">
      <alignment horizontal="right" vertical="center" wrapText="1"/>
    </xf>
    <xf numFmtId="2" fontId="10" fillId="0" borderId="0" xfId="5" applyNumberFormat="1" applyFont="1" applyAlignment="1" applyProtection="1">
      <alignment horizontal="center" vertical="center" wrapText="1"/>
    </xf>
    <xf numFmtId="0" fontId="10" fillId="0" borderId="0" xfId="5" applyFont="1" applyAlignment="1" applyProtection="1">
      <alignment horizontal="left" vertical="center" wrapText="1"/>
    </xf>
    <xf numFmtId="0" fontId="2" fillId="0" borderId="0" xfId="5" applyFont="1" applyAlignment="1" applyProtection="1">
      <alignment horizontal="left" vertical="center" wrapText="1"/>
    </xf>
    <xf numFmtId="2" fontId="2" fillId="0" borderId="0" xfId="5" applyNumberFormat="1" applyFont="1" applyAlignment="1" applyProtection="1">
      <alignment horizontal="center" vertical="center" wrapText="1"/>
    </xf>
    <xf numFmtId="164" fontId="8" fillId="0" borderId="0" xfId="0" applyNumberFormat="1" applyFont="1" applyBorder="1" applyAlignment="1" applyProtection="1"/>
    <xf numFmtId="166" fontId="2" fillId="0" borderId="5" xfId="5" applyNumberFormat="1" applyFont="1" applyBorder="1" applyAlignment="1" applyProtection="1">
      <alignment horizontal="center" vertical="center" wrapText="1"/>
    </xf>
    <xf numFmtId="0" fontId="2" fillId="0" borderId="0" xfId="7" applyFont="1" applyAlignment="1" applyProtection="1">
      <alignment horizontal="right"/>
    </xf>
    <xf numFmtId="164" fontId="2" fillId="2" borderId="0" xfId="0" applyFont="1" applyFill="1" applyAlignment="1" applyProtection="1">
      <alignment horizontal="center"/>
      <protection locked="0"/>
    </xf>
    <xf numFmtId="164" fontId="2" fillId="2" borderId="0" xfId="0" applyFont="1" applyFill="1" applyBorder="1" applyAlignment="1" applyProtection="1">
      <alignment horizontal="center"/>
      <protection locked="0"/>
    </xf>
    <xf numFmtId="164" fontId="2" fillId="2" borderId="2" xfId="0" applyFont="1" applyFill="1" applyBorder="1" applyAlignment="1" applyProtection="1">
      <alignment horizontal="center"/>
      <protection locked="0"/>
    </xf>
    <xf numFmtId="0" fontId="2" fillId="2" borderId="6" xfId="5" applyFont="1" applyFill="1" applyBorder="1" applyAlignment="1" applyProtection="1">
      <alignment horizontal="center" vertical="center" wrapText="1"/>
      <protection locked="0"/>
    </xf>
    <xf numFmtId="164" fontId="0" fillId="0" borderId="0" xfId="0" applyAlignment="1" applyProtection="1"/>
    <xf numFmtId="0" fontId="2" fillId="0" borderId="0" xfId="0" applyNumberFormat="1" applyFont="1" applyAlignment="1">
      <alignment vertical="center" wrapText="1"/>
    </xf>
    <xf numFmtId="165" fontId="2" fillId="0" borderId="0" xfId="0" applyNumberFormat="1" applyFont="1" applyBorder="1" applyProtection="1"/>
    <xf numFmtId="0" fontId="2" fillId="0" borderId="0" xfId="0" applyNumberFormat="1" applyFont="1" applyAlignment="1" applyProtection="1">
      <alignment vertical="center" wrapText="1"/>
    </xf>
    <xf numFmtId="164" fontId="6" fillId="0" borderId="0" xfId="0" applyFont="1" applyAlignment="1" applyProtection="1">
      <alignment horizontal="center" vertical="center" wrapText="1"/>
    </xf>
    <xf numFmtId="0" fontId="1" fillId="0" borderId="0" xfId="0" applyNumberFormat="1" applyFont="1" applyAlignment="1">
      <alignment vertical="center" wrapText="1"/>
    </xf>
    <xf numFmtId="164" fontId="2" fillId="2" borderId="0" xfId="0" applyNumberFormat="1" applyFont="1" applyFill="1" applyAlignment="1" applyProtection="1">
      <alignment horizontal="center" vertical="center"/>
      <protection locked="0"/>
    </xf>
    <xf numFmtId="164" fontId="4" fillId="0" borderId="0" xfId="0" applyNumberFormat="1" applyFont="1" applyAlignment="1" applyProtection="1">
      <alignment horizontal="left" vertical="center"/>
    </xf>
    <xf numFmtId="2" fontId="2" fillId="0" borderId="0" xfId="0" applyNumberFormat="1" applyFont="1" applyAlignment="1" applyProtection="1">
      <alignment horizontal="center" vertical="center"/>
    </xf>
    <xf numFmtId="0" fontId="1" fillId="0" borderId="7" xfId="5" applyFont="1" applyBorder="1" applyAlignment="1" applyProtection="1">
      <alignment horizontal="left" vertical="center" wrapText="1"/>
    </xf>
    <xf numFmtId="0" fontId="1" fillId="0" borderId="4" xfId="5" applyFont="1" applyBorder="1" applyAlignment="1" applyProtection="1">
      <alignment horizontal="left" vertical="center" wrapText="1"/>
    </xf>
    <xf numFmtId="0" fontId="52" fillId="0" borderId="0" xfId="0" applyNumberFormat="1" applyFont="1" applyAlignment="1">
      <alignment vertical="center" wrapText="1"/>
    </xf>
    <xf numFmtId="0" fontId="7" fillId="0" borderId="0" xfId="0" applyNumberFormat="1" applyFont="1" applyAlignment="1">
      <alignment vertical="center" wrapText="1"/>
    </xf>
    <xf numFmtId="0" fontId="7" fillId="0" borderId="8" xfId="5" applyFont="1" applyBorder="1" applyAlignment="1" applyProtection="1">
      <alignment horizontal="left" vertical="center" wrapText="1"/>
    </xf>
    <xf numFmtId="0" fontId="1" fillId="0" borderId="7" xfId="5" applyNumberFormat="1" applyFont="1" applyBorder="1" applyAlignment="1" applyProtection="1">
      <alignment horizontal="left" vertical="center" wrapText="1"/>
    </xf>
    <xf numFmtId="0" fontId="7" fillId="0" borderId="9" xfId="5" applyFont="1" applyBorder="1" applyAlignment="1" applyProtection="1">
      <alignment horizontal="left" vertical="center" wrapText="1"/>
    </xf>
    <xf numFmtId="0" fontId="1" fillId="0" borderId="0" xfId="5" applyFont="1" applyAlignment="1" applyProtection="1">
      <alignment horizontal="left" vertical="center" wrapText="1"/>
    </xf>
    <xf numFmtId="164" fontId="2" fillId="0" borderId="0" xfId="0" applyFont="1" applyAlignment="1" applyProtection="1">
      <alignment horizontal="center" vertical="center"/>
    </xf>
    <xf numFmtId="164" fontId="6" fillId="0" borderId="0" xfId="0" applyFont="1" applyAlignment="1" applyProtection="1">
      <alignment horizontal="center" vertical="center"/>
    </xf>
    <xf numFmtId="2" fontId="6" fillId="0" borderId="0" xfId="0" applyNumberFormat="1" applyFont="1" applyAlignment="1" applyProtection="1">
      <alignment horizontal="center" vertical="center"/>
    </xf>
    <xf numFmtId="164" fontId="10" fillId="0" borderId="0" xfId="0" applyFont="1" applyAlignment="1" applyProtection="1">
      <alignment horizontal="center" vertical="center"/>
    </xf>
    <xf numFmtId="2" fontId="10" fillId="0" borderId="0" xfId="0" applyNumberFormat="1" applyFont="1" applyAlignment="1" applyProtection="1">
      <alignment horizontal="center" vertical="center"/>
    </xf>
    <xf numFmtId="2" fontId="6" fillId="2" borderId="0" xfId="0" applyNumberFormat="1" applyFont="1" applyFill="1" applyAlignment="1" applyProtection="1">
      <alignment horizontal="center" vertical="center"/>
      <protection locked="0"/>
    </xf>
    <xf numFmtId="164"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64" fontId="7" fillId="0" borderId="0" xfId="0" applyFont="1" applyAlignment="1" applyProtection="1">
      <alignment horizontal="center" vertical="center"/>
    </xf>
    <xf numFmtId="164" fontId="7" fillId="0" borderId="0" xfId="0" applyFont="1" applyFill="1" applyBorder="1" applyAlignment="1" applyProtection="1">
      <alignment horizontal="center" vertical="center"/>
    </xf>
    <xf numFmtId="167" fontId="2" fillId="0" borderId="0" xfId="0" applyNumberFormat="1" applyFont="1" applyAlignment="1" applyProtection="1">
      <alignment horizontal="center" vertical="center"/>
    </xf>
    <xf numFmtId="167" fontId="2" fillId="0" borderId="0" xfId="0" applyNumberFormat="1" applyFont="1" applyFill="1" applyBorder="1" applyAlignment="1" applyProtection="1">
      <alignment horizontal="center" vertical="center"/>
    </xf>
    <xf numFmtId="167" fontId="2" fillId="2" borderId="0" xfId="0" applyNumberFormat="1" applyFont="1" applyFill="1" applyAlignment="1" applyProtection="1">
      <alignment horizontal="center" vertical="center"/>
      <protection locked="0"/>
    </xf>
    <xf numFmtId="2" fontId="2" fillId="2" borderId="0" xfId="0" applyNumberFormat="1" applyFont="1" applyFill="1" applyAlignment="1" applyProtection="1">
      <alignment horizontal="center" vertical="center"/>
      <protection locked="0"/>
    </xf>
    <xf numFmtId="166" fontId="2" fillId="0" borderId="0" xfId="0" applyNumberFormat="1" applyFont="1" applyFill="1" applyBorder="1" applyAlignment="1" applyProtection="1">
      <alignment horizontal="center" vertical="center"/>
    </xf>
    <xf numFmtId="164" fontId="2" fillId="0" borderId="0" xfId="0" applyNumberFormat="1" applyFont="1" applyFill="1" applyAlignment="1" applyProtection="1">
      <alignment horizontal="center" vertical="center"/>
    </xf>
    <xf numFmtId="164" fontId="2" fillId="0" borderId="0" xfId="0" applyNumberFormat="1" applyFont="1" applyAlignment="1" applyProtection="1">
      <alignment horizontal="center" vertical="center"/>
    </xf>
    <xf numFmtId="166" fontId="2" fillId="0" borderId="0" xfId="0" applyNumberFormat="1" applyFont="1" applyAlignment="1" applyProtection="1">
      <alignment horizontal="center" vertical="center"/>
    </xf>
    <xf numFmtId="164" fontId="3" fillId="0" borderId="0" xfId="0" applyNumberFormat="1" applyFont="1" applyAlignment="1" applyProtection="1">
      <alignment horizontal="left" vertical="center"/>
    </xf>
    <xf numFmtId="164" fontId="2" fillId="0" borderId="0" xfId="0" applyFont="1" applyAlignment="1" applyProtection="1">
      <alignment vertical="center"/>
    </xf>
    <xf numFmtId="2" fontId="2" fillId="0" borderId="0" xfId="0" applyNumberFormat="1" applyFont="1" applyAlignment="1" applyProtection="1">
      <alignment vertical="center"/>
    </xf>
    <xf numFmtId="164" fontId="32" fillId="0" borderId="0" xfId="0" applyFont="1" applyAlignment="1" applyProtection="1">
      <alignment vertical="center"/>
    </xf>
    <xf numFmtId="164" fontId="6" fillId="0" borderId="0" xfId="0" applyFont="1" applyAlignment="1" applyProtection="1">
      <alignment horizontal="left" vertical="center"/>
    </xf>
    <xf numFmtId="164" fontId="2" fillId="0" borderId="0" xfId="0" applyFont="1" applyFill="1" applyBorder="1" applyAlignment="1" applyProtection="1">
      <alignment horizontal="left" vertical="center"/>
    </xf>
    <xf numFmtId="164" fontId="2" fillId="0" borderId="0" xfId="0" applyFont="1" applyFill="1" applyBorder="1" applyAlignment="1" applyProtection="1">
      <alignment vertical="center"/>
    </xf>
    <xf numFmtId="164" fontId="2" fillId="0" borderId="0" xfId="0" applyFont="1" applyAlignment="1" applyProtection="1">
      <alignment horizontal="left" vertical="center"/>
    </xf>
    <xf numFmtId="167" fontId="2" fillId="0" borderId="0" xfId="0" applyNumberFormat="1" applyFont="1" applyAlignment="1" applyProtection="1">
      <alignment horizontal="right" vertical="center"/>
    </xf>
    <xf numFmtId="2" fontId="2" fillId="0" borderId="0" xfId="0" applyNumberFormat="1" applyFont="1" applyAlignment="1" applyProtection="1">
      <alignment horizontal="right" vertical="center"/>
    </xf>
    <xf numFmtId="2" fontId="2" fillId="0" borderId="0" xfId="0" applyNumberFormat="1" applyFont="1" applyAlignment="1" applyProtection="1">
      <alignment horizontal="left" vertical="center"/>
    </xf>
    <xf numFmtId="164" fontId="6" fillId="0" borderId="0" xfId="0" applyNumberFormat="1" applyFont="1" applyAlignment="1" applyProtection="1">
      <alignment horizontal="left" vertical="center"/>
    </xf>
    <xf numFmtId="164" fontId="2" fillId="0" borderId="0" xfId="0" applyNumberFormat="1" applyFont="1" applyFill="1" applyBorder="1" applyAlignment="1" applyProtection="1">
      <alignment horizontal="left" vertical="center"/>
    </xf>
    <xf numFmtId="2" fontId="2" fillId="0" borderId="0" xfId="0" applyNumberFormat="1" applyFont="1" applyFill="1" applyBorder="1" applyAlignment="1" applyProtection="1">
      <alignment horizontal="right" vertical="center"/>
    </xf>
    <xf numFmtId="9" fontId="2" fillId="0" borderId="0" xfId="0" applyNumberFormat="1" applyFont="1" applyAlignment="1" applyProtection="1">
      <alignment horizontal="left" vertical="center"/>
    </xf>
    <xf numFmtId="164" fontId="2" fillId="0" borderId="0" xfId="0" applyNumberFormat="1" applyFont="1" applyAlignment="1" applyProtection="1">
      <alignment horizontal="left" vertical="center"/>
    </xf>
    <xf numFmtId="0" fontId="7" fillId="0" borderId="0" xfId="5" applyFont="1" applyAlignment="1" applyProtection="1">
      <alignment vertical="center"/>
    </xf>
    <xf numFmtId="166" fontId="2" fillId="0" borderId="0" xfId="0" applyNumberFormat="1" applyFont="1" applyAlignment="1" applyProtection="1">
      <alignment horizontal="right" vertical="center"/>
    </xf>
    <xf numFmtId="164" fontId="7" fillId="0" borderId="0" xfId="0" applyFont="1" applyAlignment="1" applyProtection="1">
      <alignment vertical="center"/>
    </xf>
    <xf numFmtId="164" fontId="2" fillId="0" borderId="0" xfId="0" applyFont="1" applyBorder="1" applyAlignment="1" applyProtection="1">
      <alignment horizontal="left" vertical="center"/>
    </xf>
    <xf numFmtId="2" fontId="2" fillId="0" borderId="0" xfId="0" applyNumberFormat="1" applyFont="1" applyBorder="1" applyAlignment="1" applyProtection="1">
      <alignment horizontal="left" vertical="center"/>
    </xf>
    <xf numFmtId="164" fontId="2" fillId="0" borderId="0" xfId="0" applyFont="1" applyBorder="1" applyAlignment="1" applyProtection="1">
      <alignment vertical="center"/>
    </xf>
    <xf numFmtId="0" fontId="7" fillId="0" borderId="0" xfId="0" applyNumberFormat="1" applyFont="1" applyAlignment="1" applyProtection="1">
      <alignment vertical="center" wrapText="1"/>
    </xf>
    <xf numFmtId="0" fontId="15" fillId="0" borderId="0" xfId="6" applyFont="1" applyAlignment="1" applyProtection="1">
      <alignment vertical="center"/>
    </xf>
    <xf numFmtId="164" fontId="7" fillId="0" borderId="0" xfId="0" applyFont="1" applyAlignment="1" applyProtection="1">
      <alignment horizontal="left" vertical="center"/>
    </xf>
    <xf numFmtId="0" fontId="7" fillId="0" borderId="0" xfId="0" applyNumberFormat="1" applyFont="1" applyAlignment="1" applyProtection="1">
      <alignment vertical="center"/>
    </xf>
    <xf numFmtId="164" fontId="6" fillId="0" borderId="0" xfId="0" applyFont="1" applyBorder="1" applyAlignment="1" applyProtection="1">
      <alignment horizontal="center" vertical="center"/>
    </xf>
    <xf numFmtId="164" fontId="2" fillId="2" borderId="0" xfId="0" applyFont="1" applyFill="1" applyBorder="1" applyAlignment="1" applyProtection="1">
      <alignment horizontal="center" vertical="center"/>
      <protection locked="0"/>
    </xf>
    <xf numFmtId="0" fontId="15" fillId="0" borderId="0" xfId="6" applyFont="1" applyAlignment="1" applyProtection="1">
      <alignment horizontal="center" vertical="center"/>
    </xf>
    <xf numFmtId="164" fontId="17" fillId="0" borderId="0" xfId="6" applyNumberFormat="1" applyFont="1" applyAlignment="1" applyProtection="1">
      <alignment horizontal="center" vertical="center"/>
    </xf>
    <xf numFmtId="0" fontId="18" fillId="0" borderId="0" xfId="6" applyFont="1" applyAlignment="1" applyProtection="1">
      <alignment horizontal="center" vertical="center"/>
    </xf>
    <xf numFmtId="164" fontId="2" fillId="2" borderId="0" xfId="0" applyFont="1" applyFill="1" applyAlignment="1" applyProtection="1">
      <alignment horizontal="center" vertical="center"/>
      <protection locked="0"/>
    </xf>
    <xf numFmtId="164" fontId="2" fillId="0" borderId="0" xfId="0" applyFont="1" applyFill="1" applyAlignment="1" applyProtection="1">
      <alignment horizontal="center" vertical="center"/>
    </xf>
    <xf numFmtId="164" fontId="16" fillId="0" borderId="0" xfId="6" applyNumberFormat="1" applyFont="1" applyAlignment="1" applyProtection="1">
      <alignment horizontal="center" vertical="center"/>
    </xf>
    <xf numFmtId="164" fontId="2" fillId="0" borderId="0" xfId="0" applyFont="1" applyFill="1" applyAlignment="1" applyProtection="1">
      <alignment vertical="center"/>
    </xf>
    <xf numFmtId="164" fontId="17" fillId="3" borderId="0" xfId="6" applyNumberFormat="1" applyFont="1" applyFill="1" applyBorder="1" applyAlignment="1" applyProtection="1">
      <alignment horizontal="center" vertical="center"/>
    </xf>
    <xf numFmtId="164" fontId="16" fillId="0" borderId="0" xfId="6" applyNumberFormat="1" applyFont="1" applyBorder="1" applyAlignment="1" applyProtection="1">
      <alignment horizontal="center" vertical="center"/>
    </xf>
    <xf numFmtId="164" fontId="17" fillId="0" borderId="0" xfId="6" applyNumberFormat="1" applyFont="1" applyBorder="1" applyAlignment="1" applyProtection="1">
      <alignment horizontal="center" vertical="center"/>
    </xf>
    <xf numFmtId="164" fontId="6" fillId="0" borderId="0" xfId="0" applyFont="1" applyFill="1" applyAlignment="1" applyProtection="1">
      <alignment horizontal="center" vertical="center"/>
    </xf>
    <xf numFmtId="164" fontId="15" fillId="0" borderId="0" xfId="6" applyNumberFormat="1" applyFont="1" applyBorder="1" applyAlignment="1" applyProtection="1">
      <alignment horizontal="center" vertical="center"/>
    </xf>
    <xf numFmtId="0" fontId="17" fillId="0" borderId="0" xfId="6" applyFont="1" applyBorder="1" applyAlignment="1" applyProtection="1">
      <alignment horizontal="center" vertical="center"/>
    </xf>
    <xf numFmtId="164" fontId="15" fillId="0" borderId="0" xfId="6" applyNumberFormat="1" applyFont="1" applyAlignment="1" applyProtection="1">
      <alignment horizontal="center" vertical="center"/>
    </xf>
    <xf numFmtId="164" fontId="2" fillId="0" borderId="0" xfId="0" applyNumberFormat="1" applyFont="1" applyBorder="1" applyAlignment="1" applyProtection="1">
      <alignment horizontal="left" vertical="center"/>
    </xf>
    <xf numFmtId="0" fontId="16" fillId="0" borderId="0" xfId="6" applyFont="1" applyAlignment="1" applyProtection="1">
      <alignment vertical="center"/>
    </xf>
    <xf numFmtId="164" fontId="2" fillId="0" borderId="1" xfId="0" applyFont="1" applyBorder="1" applyAlignment="1" applyProtection="1">
      <alignment vertical="center"/>
    </xf>
    <xf numFmtId="164" fontId="2" fillId="0" borderId="1" xfId="0" applyFont="1" applyFill="1" applyBorder="1" applyAlignment="1" applyProtection="1">
      <alignment vertical="center"/>
    </xf>
    <xf numFmtId="164" fontId="1" fillId="0" borderId="0" xfId="0" applyFont="1" applyAlignment="1" applyProtection="1">
      <alignment horizontal="center" vertical="center"/>
    </xf>
    <xf numFmtId="164" fontId="1" fillId="0" borderId="0" xfId="0" applyFont="1" applyAlignment="1" applyProtection="1">
      <alignment horizontal="right" vertical="center"/>
    </xf>
    <xf numFmtId="2" fontId="1" fillId="0" borderId="0" xfId="0" applyNumberFormat="1" applyFont="1" applyAlignment="1" applyProtection="1">
      <alignment horizontal="center" vertical="center"/>
    </xf>
    <xf numFmtId="2" fontId="1" fillId="0" borderId="0" xfId="0" applyNumberFormat="1" applyFont="1" applyAlignment="1" applyProtection="1">
      <alignment vertical="center"/>
    </xf>
    <xf numFmtId="2" fontId="1" fillId="0" borderId="0" xfId="0" applyNumberFormat="1" applyFont="1" applyFill="1" applyBorder="1" applyAlignment="1" applyProtection="1">
      <alignment horizontal="left" vertical="center"/>
    </xf>
    <xf numFmtId="164" fontId="1" fillId="0" borderId="0" xfId="0" applyFont="1" applyAlignment="1" applyProtection="1">
      <alignment vertical="center"/>
    </xf>
    <xf numFmtId="2" fontId="53" fillId="0" borderId="0" xfId="0" applyNumberFormat="1" applyFont="1" applyAlignment="1" applyProtection="1">
      <alignment vertical="center"/>
    </xf>
    <xf numFmtId="2" fontId="1" fillId="0" borderId="0" xfId="0" applyNumberFormat="1" applyFont="1" applyAlignment="1" applyProtection="1">
      <alignment horizontal="left" vertical="center"/>
    </xf>
    <xf numFmtId="164" fontId="1" fillId="0" borderId="0" xfId="0" applyFont="1" applyAlignment="1" applyProtection="1">
      <alignment horizontal="left" vertical="center"/>
    </xf>
    <xf numFmtId="164" fontId="10" fillId="0" borderId="0" xfId="0" applyNumberFormat="1" applyFont="1" applyAlignment="1" applyProtection="1">
      <alignment horizontal="left" vertical="center"/>
    </xf>
    <xf numFmtId="165" fontId="2" fillId="0" borderId="0" xfId="0" applyNumberFormat="1" applyFont="1" applyAlignment="1" applyProtection="1">
      <alignment vertical="center"/>
    </xf>
    <xf numFmtId="164" fontId="53" fillId="0" borderId="0" xfId="0" applyFont="1" applyAlignment="1" applyProtection="1">
      <alignment vertical="center"/>
    </xf>
    <xf numFmtId="2" fontId="10" fillId="0" borderId="0" xfId="0" applyNumberFormat="1" applyFont="1" applyAlignment="1" applyProtection="1">
      <alignment horizontal="right" vertical="center"/>
    </xf>
    <xf numFmtId="164" fontId="2" fillId="0" borderId="0" xfId="0" applyNumberFormat="1" applyFont="1" applyFill="1" applyAlignment="1" applyProtection="1">
      <alignment horizontal="left" vertical="center"/>
    </xf>
    <xf numFmtId="2" fontId="2" fillId="0" borderId="0" xfId="0" applyNumberFormat="1" applyFont="1" applyFill="1" applyAlignment="1" applyProtection="1">
      <alignment vertical="center"/>
    </xf>
    <xf numFmtId="164" fontId="1" fillId="0" borderId="0" xfId="0" applyNumberFormat="1" applyFont="1" applyFill="1" applyAlignment="1" applyProtection="1">
      <alignment horizontal="left" vertical="center"/>
    </xf>
    <xf numFmtId="1" fontId="2" fillId="0" borderId="0" xfId="0" applyNumberFormat="1" applyFont="1" applyAlignment="1" applyProtection="1">
      <alignment horizontal="center" vertical="center"/>
    </xf>
    <xf numFmtId="164" fontId="1" fillId="0" borderId="0" xfId="0" applyNumberFormat="1" applyFont="1" applyAlignment="1" applyProtection="1">
      <alignment horizontal="left" vertical="center"/>
    </xf>
    <xf numFmtId="2" fontId="37" fillId="0" borderId="0" xfId="0" applyNumberFormat="1" applyFont="1" applyAlignment="1" applyProtection="1">
      <alignment vertical="center"/>
    </xf>
    <xf numFmtId="164" fontId="37" fillId="0" borderId="0" xfId="0" applyFont="1" applyAlignment="1" applyProtection="1">
      <alignment vertical="center"/>
    </xf>
    <xf numFmtId="0" fontId="2" fillId="0" borderId="0" xfId="0" applyNumberFormat="1" applyFont="1" applyAlignment="1" applyProtection="1">
      <alignment horizontal="left" vertical="center"/>
    </xf>
    <xf numFmtId="2" fontId="1" fillId="0" borderId="0" xfId="0" applyNumberFormat="1" applyFont="1" applyAlignment="1" applyProtection="1">
      <alignment horizontal="right" vertical="center"/>
    </xf>
    <xf numFmtId="164" fontId="42" fillId="0" borderId="0" xfId="0" applyFont="1" applyAlignment="1" applyProtection="1">
      <alignment vertical="center"/>
    </xf>
    <xf numFmtId="0" fontId="52" fillId="0" borderId="0" xfId="0" applyNumberFormat="1" applyFont="1" applyAlignment="1" applyProtection="1">
      <alignment vertical="center" wrapText="1"/>
    </xf>
    <xf numFmtId="164" fontId="19" fillId="0" borderId="0" xfId="0" applyFont="1" applyAlignment="1" applyProtection="1">
      <alignment vertical="center" wrapText="1"/>
    </xf>
    <xf numFmtId="49" fontId="2" fillId="0" borderId="0" xfId="0" applyNumberFormat="1" applyFont="1" applyAlignment="1" applyProtection="1">
      <alignment vertical="center" wrapText="1"/>
    </xf>
    <xf numFmtId="164" fontId="40" fillId="0" borderId="0" xfId="0" applyFont="1" applyAlignment="1" applyProtection="1">
      <alignment horizontal="center" vertical="center"/>
    </xf>
    <xf numFmtId="164" fontId="23" fillId="0" borderId="0" xfId="0" applyFont="1" applyAlignment="1" applyProtection="1">
      <alignment vertical="center"/>
    </xf>
    <xf numFmtId="164" fontId="43" fillId="0" borderId="0" xfId="0" applyFont="1" applyBorder="1" applyAlignment="1" applyProtection="1">
      <alignment vertical="center"/>
    </xf>
    <xf numFmtId="164" fontId="41" fillId="0" borderId="0" xfId="0" applyFont="1" applyBorder="1" applyAlignment="1" applyProtection="1">
      <alignment vertical="center"/>
    </xf>
    <xf numFmtId="164" fontId="38" fillId="0" borderId="0" xfId="0" applyFont="1" applyAlignment="1" applyProtection="1">
      <alignment vertical="center"/>
    </xf>
    <xf numFmtId="164" fontId="0" fillId="0" borderId="0" xfId="0" applyAlignment="1" applyProtection="1">
      <alignment vertical="center"/>
    </xf>
    <xf numFmtId="164" fontId="1" fillId="0" borderId="7" xfId="0" applyFont="1" applyBorder="1" applyAlignment="1" applyProtection="1">
      <alignment horizontal="left" vertical="center" wrapText="1"/>
    </xf>
    <xf numFmtId="164" fontId="0" fillId="0" borderId="0" xfId="0" applyProtection="1"/>
    <xf numFmtId="0" fontId="1" fillId="0" borderId="0" xfId="8" applyAlignment="1">
      <alignment vertical="center"/>
    </xf>
    <xf numFmtId="164" fontId="8" fillId="0" borderId="0" xfId="8" applyNumberFormat="1" applyFont="1" applyBorder="1" applyAlignment="1" applyProtection="1">
      <alignment vertical="center"/>
    </xf>
    <xf numFmtId="0" fontId="1" fillId="0" borderId="0" xfId="8" applyAlignment="1" applyProtection="1">
      <alignment horizontal="center" vertical="center"/>
    </xf>
    <xf numFmtId="0" fontId="1" fillId="0" borderId="0" xfId="8" applyAlignment="1" applyProtection="1">
      <alignment vertical="center"/>
    </xf>
    <xf numFmtId="2" fontId="2" fillId="0" borderId="0" xfId="8" applyNumberFormat="1" applyFont="1" applyBorder="1" applyAlignment="1" applyProtection="1">
      <alignment horizontal="center" vertical="center"/>
    </xf>
    <xf numFmtId="0" fontId="1" fillId="0" borderId="0" xfId="8" applyAlignment="1">
      <alignment horizontal="center" vertical="center"/>
    </xf>
    <xf numFmtId="0" fontId="1" fillId="0" borderId="0" xfId="8" applyBorder="1" applyAlignment="1">
      <alignment horizontal="center" vertical="center"/>
    </xf>
    <xf numFmtId="166" fontId="1" fillId="0" borderId="0" xfId="8" applyNumberFormat="1" applyBorder="1" applyAlignment="1">
      <alignment horizontal="center" vertical="center"/>
    </xf>
    <xf numFmtId="0" fontId="8" fillId="0" borderId="0" xfId="8" applyFont="1" applyAlignment="1">
      <alignment vertical="center"/>
    </xf>
    <xf numFmtId="0" fontId="1" fillId="0" borderId="0" xfId="8" applyFont="1" applyAlignment="1">
      <alignment vertical="center"/>
    </xf>
    <xf numFmtId="2" fontId="1" fillId="0" borderId="0" xfId="8" applyNumberFormat="1" applyBorder="1" applyAlignment="1">
      <alignment horizontal="center" vertical="center"/>
    </xf>
    <xf numFmtId="0" fontId="7" fillId="0" borderId="0" xfId="8" applyFont="1" applyAlignment="1">
      <alignment vertical="center"/>
    </xf>
    <xf numFmtId="2" fontId="1" fillId="0" borderId="7" xfId="8" applyNumberFormat="1" applyBorder="1" applyAlignment="1">
      <alignment horizontal="center" vertical="center"/>
    </xf>
    <xf numFmtId="166" fontId="1" fillId="0" borderId="7" xfId="8" applyNumberFormat="1" applyBorder="1" applyAlignment="1">
      <alignment horizontal="center" vertical="center"/>
    </xf>
    <xf numFmtId="2" fontId="2" fillId="0" borderId="10" xfId="8" applyNumberFormat="1" applyFont="1" applyBorder="1" applyAlignment="1" applyProtection="1">
      <alignment horizontal="center" vertical="center"/>
    </xf>
    <xf numFmtId="2" fontId="2" fillId="0" borderId="7" xfId="8" applyNumberFormat="1" applyFont="1" applyBorder="1" applyAlignment="1" applyProtection="1">
      <alignment horizontal="center" vertical="center"/>
    </xf>
    <xf numFmtId="2" fontId="2" fillId="0" borderId="7" xfId="7" applyNumberFormat="1" applyFont="1" applyBorder="1" applyAlignment="1" applyProtection="1">
      <alignment horizontal="center" vertical="center"/>
    </xf>
    <xf numFmtId="2" fontId="2" fillId="0" borderId="7" xfId="8" applyNumberFormat="1" applyFont="1" applyFill="1" applyBorder="1" applyAlignment="1" applyProtection="1">
      <alignment horizontal="center" vertical="center"/>
    </xf>
    <xf numFmtId="0" fontId="2" fillId="0" borderId="0" xfId="5" applyFont="1" applyAlignment="1" applyProtection="1">
      <alignment vertical="center"/>
    </xf>
    <xf numFmtId="0" fontId="2" fillId="0" borderId="0" xfId="5" applyFont="1" applyAlignment="1" applyProtection="1">
      <alignment horizontal="center" vertical="center"/>
    </xf>
    <xf numFmtId="0" fontId="22" fillId="0" borderId="0" xfId="5" applyFont="1" applyAlignment="1" applyProtection="1">
      <alignment horizontal="center" vertical="center"/>
    </xf>
    <xf numFmtId="0" fontId="2" fillId="0" borderId="0" xfId="5" applyFont="1" applyAlignment="1" applyProtection="1">
      <alignment horizontal="left" vertical="center"/>
    </xf>
    <xf numFmtId="0" fontId="2" fillId="0" borderId="4" xfId="5" applyFont="1" applyBorder="1" applyAlignment="1" applyProtection="1">
      <alignment horizontal="center" vertical="center"/>
    </xf>
    <xf numFmtId="2" fontId="2" fillId="0" borderId="0" xfId="5" applyNumberFormat="1" applyFont="1" applyAlignment="1" applyProtection="1">
      <alignment horizontal="left" vertical="center"/>
    </xf>
    <xf numFmtId="2" fontId="2" fillId="0" borderId="0" xfId="5" applyNumberFormat="1" applyFont="1" applyAlignment="1" applyProtection="1">
      <alignment horizontal="center" vertical="center"/>
    </xf>
    <xf numFmtId="167" fontId="53" fillId="0" borderId="0" xfId="5" applyNumberFormat="1" applyFont="1" applyAlignment="1" applyProtection="1">
      <alignment horizontal="center" vertical="center"/>
    </xf>
    <xf numFmtId="0" fontId="53" fillId="0" borderId="0" xfId="5" applyFont="1" applyAlignment="1" applyProtection="1">
      <alignment horizontal="center" vertical="center"/>
    </xf>
    <xf numFmtId="2" fontId="53" fillId="0" borderId="0" xfId="5" applyNumberFormat="1" applyFont="1" applyAlignment="1" applyProtection="1">
      <alignment horizontal="center" vertical="center"/>
    </xf>
    <xf numFmtId="164" fontId="34" fillId="0" borderId="0" xfId="0" applyFont="1" applyAlignment="1" applyProtection="1">
      <alignment vertical="center"/>
    </xf>
    <xf numFmtId="2" fontId="4" fillId="0" borderId="0" xfId="0" applyNumberFormat="1" applyFont="1" applyAlignment="1" applyProtection="1">
      <alignment horizontal="center" vertical="center"/>
    </xf>
    <xf numFmtId="0" fontId="1" fillId="0" borderId="0" xfId="0" applyNumberFormat="1" applyFont="1" applyAlignment="1" applyProtection="1">
      <alignment vertical="center" wrapText="1"/>
    </xf>
    <xf numFmtId="164" fontId="49" fillId="0" borderId="0" xfId="0" applyFont="1" applyAlignment="1" applyProtection="1">
      <alignment vertical="center"/>
    </xf>
    <xf numFmtId="0" fontId="51" fillId="0" borderId="11" xfId="5" applyFont="1" applyBorder="1" applyAlignment="1" applyProtection="1">
      <alignment horizontal="center" vertical="center" wrapText="1"/>
    </xf>
    <xf numFmtId="0" fontId="51" fillId="0" borderId="11" xfId="5" applyFont="1" applyBorder="1" applyAlignment="1" applyProtection="1">
      <alignment horizontal="center" vertical="center"/>
    </xf>
    <xf numFmtId="0" fontId="54" fillId="0" borderId="11" xfId="5" applyFont="1" applyBorder="1" applyAlignment="1" applyProtection="1">
      <alignment horizontal="center" vertical="center"/>
    </xf>
    <xf numFmtId="0" fontId="47" fillId="0" borderId="0" xfId="5" applyFont="1" applyAlignment="1" applyProtection="1">
      <alignment horizontal="center" vertical="center"/>
    </xf>
    <xf numFmtId="0" fontId="47" fillId="0" borderId="0" xfId="5" applyFont="1" applyAlignment="1" applyProtection="1">
      <alignment horizontal="left" vertical="center"/>
    </xf>
    <xf numFmtId="2" fontId="1" fillId="0" borderId="12" xfId="5" applyNumberFormat="1" applyFont="1" applyBorder="1" applyAlignment="1" applyProtection="1">
      <alignment horizontal="center" vertical="center"/>
    </xf>
    <xf numFmtId="0" fontId="2" fillId="0" borderId="0" xfId="0" applyNumberFormat="1" applyFont="1" applyAlignment="1">
      <alignment vertical="distributed" wrapText="1"/>
    </xf>
    <xf numFmtId="0" fontId="7" fillId="0" borderId="0" xfId="0" applyNumberFormat="1" applyFont="1" applyAlignment="1">
      <alignment vertical="distributed" wrapText="1"/>
    </xf>
    <xf numFmtId="0" fontId="1" fillId="0" borderId="0" xfId="0" applyNumberFormat="1" applyFont="1" applyAlignment="1">
      <alignment vertical="distributed" wrapText="1"/>
    </xf>
    <xf numFmtId="164" fontId="7" fillId="3" borderId="0" xfId="0" applyFont="1" applyFill="1" applyAlignment="1">
      <alignment vertical="distributed" wrapText="1"/>
    </xf>
    <xf numFmtId="164" fontId="2" fillId="3" borderId="0" xfId="0" applyFont="1" applyFill="1" applyAlignment="1">
      <alignment vertical="distributed" wrapText="1"/>
    </xf>
    <xf numFmtId="164" fontId="2" fillId="0" borderId="0" xfId="0" applyFont="1" applyBorder="1" applyAlignment="1">
      <alignment vertical="distributed" wrapText="1"/>
    </xf>
    <xf numFmtId="164" fontId="2" fillId="0" borderId="0" xfId="0" applyFont="1" applyAlignment="1">
      <alignment vertical="distributed" wrapText="1"/>
    </xf>
    <xf numFmtId="0" fontId="2" fillId="0" borderId="0" xfId="8" applyFont="1" applyAlignment="1" applyProtection="1">
      <alignment vertical="center"/>
    </xf>
    <xf numFmtId="164" fontId="2" fillId="0" borderId="0" xfId="8" applyNumberFormat="1" applyFont="1" applyFill="1" applyAlignment="1" applyProtection="1">
      <alignment vertical="center"/>
    </xf>
    <xf numFmtId="164" fontId="1" fillId="0" borderId="0" xfId="8" applyNumberFormat="1" applyFont="1" applyFill="1" applyAlignment="1" applyProtection="1">
      <alignment vertical="center"/>
    </xf>
    <xf numFmtId="164" fontId="2" fillId="0" borderId="0" xfId="8" applyNumberFormat="1" applyFont="1" applyBorder="1" applyAlignment="1" applyProtection="1">
      <alignment vertical="center"/>
    </xf>
    <xf numFmtId="0" fontId="2" fillId="0" borderId="0" xfId="7" applyFont="1" applyAlignment="1" applyProtection="1">
      <alignment vertical="center"/>
    </xf>
    <xf numFmtId="164" fontId="2" fillId="0" borderId="0" xfId="8" applyNumberFormat="1" applyFont="1" applyAlignment="1" applyProtection="1">
      <alignment vertical="center"/>
    </xf>
    <xf numFmtId="0" fontId="5" fillId="0" borderId="0" xfId="5" applyFont="1" applyBorder="1" applyAlignment="1" applyProtection="1">
      <alignment vertical="center" wrapText="1"/>
    </xf>
    <xf numFmtId="0" fontId="1" fillId="0" borderId="0" xfId="5" applyFont="1" applyBorder="1" applyAlignment="1" applyProtection="1">
      <alignment vertical="center"/>
    </xf>
    <xf numFmtId="0" fontId="1" fillId="0" borderId="0" xfId="5" applyFont="1" applyBorder="1" applyAlignment="1" applyProtection="1">
      <alignment vertical="center" wrapText="1"/>
    </xf>
    <xf numFmtId="0" fontId="2" fillId="0" borderId="0" xfId="5" applyFont="1" applyBorder="1" applyAlignment="1" applyProtection="1">
      <alignment vertical="center" wrapText="1"/>
    </xf>
    <xf numFmtId="0" fontId="23" fillId="0" borderId="0" xfId="5" applyFont="1" applyBorder="1" applyAlignment="1" applyProtection="1">
      <alignment vertical="center" wrapText="1"/>
    </xf>
    <xf numFmtId="0" fontId="30" fillId="0" borderId="0" xfId="0" applyNumberFormat="1" applyFont="1" applyAlignment="1" applyProtection="1">
      <alignment vertical="center" wrapText="1"/>
    </xf>
    <xf numFmtId="164" fontId="0" fillId="0" borderId="13" xfId="0" applyBorder="1"/>
    <xf numFmtId="164" fontId="1" fillId="0" borderId="0" xfId="0" applyFont="1"/>
    <xf numFmtId="2" fontId="1" fillId="0" borderId="7" xfId="8" applyNumberFormat="1" applyFont="1" applyBorder="1" applyAlignment="1">
      <alignment horizontal="center" vertical="center"/>
    </xf>
    <xf numFmtId="164" fontId="0" fillId="0" borderId="0" xfId="0" applyAlignment="1">
      <alignment horizontal="right"/>
    </xf>
    <xf numFmtId="164" fontId="0" fillId="0" borderId="0" xfId="0" applyBorder="1"/>
    <xf numFmtId="164" fontId="56" fillId="0" borderId="0" xfId="1" applyNumberFormat="1" applyFont="1" applyAlignment="1" applyProtection="1"/>
    <xf numFmtId="164" fontId="57" fillId="0" borderId="0" xfId="0" applyFont="1"/>
    <xf numFmtId="49" fontId="1" fillId="0" borderId="0" xfId="0" applyNumberFormat="1" applyFont="1" applyAlignment="1" applyProtection="1">
      <alignment vertical="center" wrapText="1"/>
    </xf>
    <xf numFmtId="167" fontId="2" fillId="0" borderId="0" xfId="0" applyNumberFormat="1" applyFont="1" applyFill="1" applyAlignment="1" applyProtection="1">
      <alignment horizontal="center" vertical="center"/>
      <protection locked="0"/>
    </xf>
    <xf numFmtId="167" fontId="58" fillId="0" borderId="0" xfId="0" applyNumberFormat="1" applyFont="1" applyFill="1" applyAlignment="1" applyProtection="1">
      <alignment horizontal="center" vertical="center"/>
      <protection locked="0"/>
    </xf>
    <xf numFmtId="164" fontId="0" fillId="0" borderId="0" xfId="0" applyAlignment="1">
      <alignment horizontal="center" vertical="center"/>
    </xf>
    <xf numFmtId="2" fontId="1" fillId="0" borderId="0" xfId="0" applyNumberFormat="1" applyFont="1" applyFill="1" applyAlignment="1" applyProtection="1">
      <alignment horizontal="left" vertical="center"/>
      <protection locked="0"/>
    </xf>
    <xf numFmtId="167" fontId="1" fillId="0" borderId="0" xfId="0" applyNumberFormat="1" applyFont="1" applyFill="1" applyAlignment="1" applyProtection="1">
      <alignment horizontal="left" vertical="center"/>
      <protection locked="0"/>
    </xf>
    <xf numFmtId="164" fontId="1" fillId="0" borderId="0" xfId="0" applyFont="1" applyFill="1" applyBorder="1" applyAlignment="1" applyProtection="1">
      <alignment horizontal="left" vertical="center"/>
    </xf>
    <xf numFmtId="167" fontId="1" fillId="0" borderId="0" xfId="0" applyNumberFormat="1" applyFont="1" applyFill="1" applyAlignment="1" applyProtection="1">
      <alignment horizontal="right" vertical="center"/>
    </xf>
    <xf numFmtId="164" fontId="7" fillId="0" borderId="0" xfId="0" applyFont="1" applyAlignment="1" applyProtection="1">
      <alignment horizontal="center" vertical="center" wrapText="1"/>
    </xf>
    <xf numFmtId="166" fontId="2" fillId="0" borderId="0" xfId="5" applyNumberFormat="1" applyFont="1" applyAlignment="1" applyProtection="1">
      <alignment horizontal="center" vertical="center"/>
    </xf>
    <xf numFmtId="0" fontId="59" fillId="0" borderId="0" xfId="5" applyFont="1" applyAlignment="1" applyProtection="1">
      <alignment horizontal="center" vertical="center"/>
    </xf>
    <xf numFmtId="0" fontId="60" fillId="0" borderId="0" xfId="5" applyFont="1" applyAlignment="1" applyProtection="1">
      <alignment horizontal="center" vertical="center"/>
    </xf>
    <xf numFmtId="0" fontId="61" fillId="0" borderId="0" xfId="5" applyFont="1" applyAlignment="1" applyProtection="1">
      <alignment horizontal="center" vertical="center" wrapText="1"/>
    </xf>
    <xf numFmtId="0" fontId="61" fillId="0" borderId="0" xfId="5" applyNumberFormat="1" applyFont="1" applyAlignment="1" applyProtection="1">
      <alignment horizontal="center" vertical="center" wrapText="1"/>
    </xf>
    <xf numFmtId="0" fontId="61" fillId="0" borderId="0" xfId="5" applyFont="1" applyAlignment="1" applyProtection="1">
      <alignment horizontal="left" vertical="center" wrapText="1"/>
    </xf>
    <xf numFmtId="2" fontId="61" fillId="0" borderId="0" xfId="5" applyNumberFormat="1" applyFont="1" applyAlignment="1" applyProtection="1">
      <alignment horizontal="center" vertical="center"/>
    </xf>
    <xf numFmtId="0" fontId="61" fillId="0" borderId="0" xfId="5" applyFont="1" applyAlignment="1" applyProtection="1">
      <alignment horizontal="center" vertical="center"/>
    </xf>
    <xf numFmtId="0" fontId="7" fillId="0" borderId="0" xfId="5" applyFont="1" applyAlignment="1" applyProtection="1">
      <alignment horizontal="center" vertical="center"/>
    </xf>
    <xf numFmtId="1" fontId="2" fillId="0" borderId="0" xfId="0" applyNumberFormat="1" applyFont="1" applyAlignment="1" applyProtection="1">
      <alignment vertical="center"/>
    </xf>
    <xf numFmtId="164" fontId="2" fillId="0" borderId="0" xfId="0" applyFont="1" applyAlignment="1" applyProtection="1">
      <alignment horizontal="right" vertical="center"/>
    </xf>
    <xf numFmtId="2" fontId="1" fillId="0" borderId="0" xfId="0" applyNumberFormat="1" applyFont="1" applyFill="1" applyAlignment="1" applyProtection="1">
      <alignment vertical="center"/>
    </xf>
    <xf numFmtId="167" fontId="1" fillId="0" borderId="0" xfId="0" applyNumberFormat="1" applyFont="1" applyAlignment="1" applyProtection="1">
      <alignment horizontal="right" vertical="center"/>
    </xf>
    <xf numFmtId="2" fontId="1" fillId="0" borderId="0" xfId="0" applyNumberFormat="1" applyFont="1" applyBorder="1" applyProtection="1"/>
    <xf numFmtId="2" fontId="1" fillId="0" borderId="0" xfId="7" applyNumberFormat="1" applyFont="1" applyAlignment="1" applyProtection="1">
      <alignment horizontal="right"/>
    </xf>
    <xf numFmtId="164" fontId="1" fillId="0" borderId="0" xfId="0" applyFont="1" applyBorder="1" applyProtection="1"/>
    <xf numFmtId="164" fontId="1" fillId="0" borderId="0" xfId="0" applyFont="1" applyProtection="1"/>
    <xf numFmtId="164" fontId="1" fillId="0" borderId="0" xfId="0" applyNumberFormat="1" applyFont="1" applyBorder="1" applyAlignment="1" applyProtection="1">
      <alignment horizontal="left" vertical="center"/>
    </xf>
    <xf numFmtId="2" fontId="1" fillId="0" borderId="0" xfId="0" applyNumberFormat="1" applyFont="1" applyBorder="1" applyAlignment="1" applyProtection="1">
      <alignment horizontal="right" vertical="center"/>
    </xf>
    <xf numFmtId="164" fontId="35" fillId="0" borderId="0" xfId="0" applyFont="1" applyAlignment="1" applyProtection="1">
      <alignment vertical="center"/>
    </xf>
    <xf numFmtId="0" fontId="8" fillId="0" borderId="0" xfId="8" applyFont="1" applyAlignment="1">
      <alignment horizontal="center" vertical="center"/>
    </xf>
    <xf numFmtId="2" fontId="1" fillId="0" borderId="0" xfId="0" applyNumberFormat="1" applyFont="1" applyBorder="1" applyAlignment="1" applyProtection="1">
      <alignment vertical="center"/>
    </xf>
    <xf numFmtId="2" fontId="1" fillId="0" borderId="0" xfId="6" applyNumberFormat="1" applyFont="1" applyAlignment="1" applyProtection="1">
      <alignment vertical="center"/>
    </xf>
    <xf numFmtId="164" fontId="1" fillId="0" borderId="0" xfId="7" applyNumberFormat="1" applyFont="1" applyAlignment="1" applyProtection="1">
      <alignment horizontal="left"/>
    </xf>
    <xf numFmtId="164" fontId="1" fillId="0" borderId="0" xfId="0" applyNumberFormat="1" applyFont="1" applyBorder="1" applyAlignment="1" applyProtection="1">
      <alignment horizontal="left"/>
    </xf>
    <xf numFmtId="164" fontId="1" fillId="0" borderId="0" xfId="0" applyFont="1" applyBorder="1" applyAlignment="1" applyProtection="1">
      <alignment vertical="center"/>
    </xf>
    <xf numFmtId="0" fontId="1" fillId="0" borderId="0" xfId="5" applyFont="1" applyAlignment="1" applyProtection="1">
      <alignment vertical="center"/>
    </xf>
    <xf numFmtId="164" fontId="1" fillId="0" borderId="0" xfId="7" applyNumberFormat="1" applyFont="1" applyAlignment="1" applyProtection="1">
      <alignment vertical="center"/>
    </xf>
    <xf numFmtId="0" fontId="1" fillId="0" borderId="0" xfId="7" applyFont="1" applyAlignment="1" applyProtection="1">
      <alignment vertical="center"/>
    </xf>
    <xf numFmtId="164" fontId="1" fillId="0" borderId="0" xfId="8" applyNumberFormat="1" applyFont="1" applyBorder="1" applyAlignment="1" applyProtection="1">
      <alignment vertical="center"/>
    </xf>
    <xf numFmtId="164" fontId="69" fillId="0" borderId="0" xfId="0" applyNumberFormat="1" applyFont="1" applyFill="1" applyAlignment="1" applyProtection="1">
      <alignment horizontal="left" vertical="center"/>
    </xf>
    <xf numFmtId="1" fontId="1" fillId="0" borderId="0" xfId="0" applyNumberFormat="1" applyFont="1" applyAlignment="1" applyProtection="1">
      <alignment horizontal="center" vertical="center"/>
    </xf>
    <xf numFmtId="164" fontId="8" fillId="0" borderId="0" xfId="0" applyNumberFormat="1" applyFont="1" applyFill="1" applyAlignment="1" applyProtection="1">
      <alignment horizontal="left" vertical="center"/>
    </xf>
    <xf numFmtId="164" fontId="1" fillId="0" borderId="0" xfId="0" applyNumberFormat="1" applyFont="1" applyFill="1" applyAlignment="1" applyProtection="1">
      <alignment horizontal="right" vertical="center"/>
    </xf>
    <xf numFmtId="167" fontId="1" fillId="2" borderId="0" xfId="0" applyNumberFormat="1" applyFont="1" applyFill="1" applyAlignment="1" applyProtection="1">
      <alignment horizontal="center" vertical="center"/>
      <protection locked="0"/>
    </xf>
    <xf numFmtId="167" fontId="1" fillId="0" borderId="0" xfId="0" applyNumberFormat="1" applyFont="1" applyAlignment="1" applyProtection="1">
      <alignment vertical="center"/>
    </xf>
    <xf numFmtId="1" fontId="2" fillId="3" borderId="0" xfId="0" applyNumberFormat="1" applyFont="1" applyFill="1" applyAlignment="1" applyProtection="1">
      <alignment horizontal="center" vertical="center"/>
      <protection locked="0"/>
    </xf>
    <xf numFmtId="2" fontId="1" fillId="2" borderId="0" xfId="0" applyNumberFormat="1" applyFont="1" applyFill="1" applyAlignment="1" applyProtection="1">
      <alignment horizontal="center" vertical="center"/>
      <protection locked="0"/>
    </xf>
    <xf numFmtId="164" fontId="7" fillId="0" borderId="0" xfId="0" applyNumberFormat="1" applyFont="1" applyAlignment="1" applyProtection="1">
      <alignment horizontal="left" vertical="center"/>
    </xf>
    <xf numFmtId="164" fontId="7" fillId="0" borderId="0" xfId="0" applyFont="1" applyFill="1" applyAlignment="1" applyProtection="1">
      <alignment horizontal="left" vertical="center"/>
    </xf>
    <xf numFmtId="164" fontId="7" fillId="0" borderId="0" xfId="0" applyFont="1" applyAlignment="1" applyProtection="1">
      <alignment horizontal="center"/>
    </xf>
    <xf numFmtId="164" fontId="1" fillId="0" borderId="0" xfId="0" applyFont="1" applyAlignment="1" applyProtection="1">
      <alignment horizontal="center"/>
    </xf>
    <xf numFmtId="164" fontId="0" fillId="0" borderId="0" xfId="0" applyAlignment="1" applyProtection="1">
      <alignment horizontal="center"/>
    </xf>
    <xf numFmtId="2" fontId="1" fillId="4" borderId="0" xfId="0" applyNumberFormat="1" applyFont="1" applyFill="1" applyProtection="1"/>
    <xf numFmtId="164" fontId="72" fillId="0" borderId="0" xfId="0" applyFont="1" applyProtection="1"/>
    <xf numFmtId="2" fontId="1" fillId="0" borderId="0" xfId="0" applyNumberFormat="1" applyFont="1" applyProtection="1"/>
    <xf numFmtId="164" fontId="1" fillId="0" borderId="0" xfId="8" applyNumberFormat="1" applyFont="1" applyAlignment="1" applyProtection="1">
      <alignment vertical="center"/>
    </xf>
    <xf numFmtId="2" fontId="1" fillId="0" borderId="7" xfId="8" applyNumberFormat="1" applyFont="1" applyBorder="1" applyAlignment="1" applyProtection="1">
      <alignment horizontal="center" vertical="center"/>
    </xf>
    <xf numFmtId="167" fontId="1" fillId="5" borderId="0" xfId="0" applyNumberFormat="1" applyFont="1" applyFill="1" applyProtection="1">
      <protection locked="0"/>
    </xf>
    <xf numFmtId="164" fontId="5" fillId="0" borderId="0" xfId="0" applyNumberFormat="1" applyFont="1" applyFill="1" applyAlignment="1" applyProtection="1">
      <alignment horizontal="center" vertical="center"/>
    </xf>
    <xf numFmtId="164" fontId="0" fillId="0" borderId="0" xfId="0" applyAlignment="1" applyProtection="1">
      <alignment horizontal="center" vertical="center"/>
    </xf>
    <xf numFmtId="164" fontId="7" fillId="0" borderId="0" xfId="0" applyNumberFormat="1" applyFont="1" applyAlignment="1" applyProtection="1">
      <alignment horizontal="center" vertical="center"/>
    </xf>
    <xf numFmtId="164" fontId="1" fillId="0" borderId="0" xfId="0" applyFont="1" applyAlignment="1" applyProtection="1">
      <alignment horizontal="center" vertical="center"/>
    </xf>
    <xf numFmtId="164" fontId="35" fillId="0" borderId="0" xfId="0" applyFont="1" applyAlignment="1" applyProtection="1">
      <alignment horizontal="center" vertical="center"/>
    </xf>
    <xf numFmtId="164" fontId="6" fillId="0" borderId="0" xfId="0" applyFont="1" applyAlignment="1" applyProtection="1">
      <alignment horizontal="left" vertical="center" wrapText="1"/>
    </xf>
    <xf numFmtId="164" fontId="2" fillId="0" borderId="0" xfId="0" applyFont="1" applyAlignment="1" applyProtection="1">
      <alignment vertical="center" wrapText="1"/>
    </xf>
    <xf numFmtId="164" fontId="5" fillId="0" borderId="0" xfId="0" applyNumberFormat="1" applyFont="1" applyAlignment="1" applyProtection="1">
      <alignment horizontal="center" vertical="center"/>
    </xf>
    <xf numFmtId="164" fontId="2" fillId="0" borderId="0" xfId="0" applyFont="1" applyAlignment="1" applyProtection="1">
      <alignment horizontal="center" vertical="center"/>
    </xf>
    <xf numFmtId="164" fontId="25" fillId="0" borderId="0" xfId="0" applyNumberFormat="1" applyFont="1" applyFill="1" applyAlignment="1" applyProtection="1">
      <alignment horizontal="center" vertical="center"/>
    </xf>
    <xf numFmtId="164" fontId="29" fillId="0" borderId="0" xfId="0" applyFont="1" applyFill="1" applyAlignment="1" applyProtection="1">
      <alignment horizontal="center" vertical="center"/>
    </xf>
    <xf numFmtId="164" fontId="8" fillId="0" borderId="0" xfId="0" applyNumberFormat="1" applyFont="1" applyBorder="1" applyAlignment="1" applyProtection="1">
      <alignment horizontal="center" vertical="center"/>
    </xf>
    <xf numFmtId="164" fontId="67" fillId="0" borderId="0" xfId="0" applyFont="1" applyFill="1" applyBorder="1" applyAlignment="1" applyProtection="1">
      <alignment horizontal="center" vertical="center"/>
    </xf>
    <xf numFmtId="164" fontId="68" fillId="0" borderId="0" xfId="0" applyFont="1" applyAlignment="1" applyProtection="1">
      <alignment horizontal="center" vertical="center"/>
    </xf>
    <xf numFmtId="164" fontId="68" fillId="0" borderId="0" xfId="0" applyFont="1" applyAlignment="1" applyProtection="1">
      <alignment vertical="center"/>
    </xf>
    <xf numFmtId="167" fontId="58" fillId="0" borderId="0" xfId="0" applyNumberFormat="1" applyFont="1" applyFill="1" applyAlignment="1" applyProtection="1">
      <alignment horizontal="center" vertical="center"/>
      <protection locked="0"/>
    </xf>
    <xf numFmtId="164" fontId="0" fillId="0" borderId="0" xfId="0" applyAlignment="1">
      <alignment horizontal="center" vertical="center"/>
    </xf>
    <xf numFmtId="164" fontId="8" fillId="0" borderId="0" xfId="8" applyNumberFormat="1" applyFont="1" applyFill="1" applyAlignment="1" applyProtection="1">
      <alignment vertical="center"/>
    </xf>
    <xf numFmtId="0" fontId="34" fillId="0" borderId="0" xfId="8" applyFont="1" applyFill="1" applyAlignment="1" applyProtection="1">
      <alignment vertical="center"/>
    </xf>
    <xf numFmtId="164" fontId="8" fillId="0" borderId="0" xfId="8" applyNumberFormat="1" applyFont="1" applyBorder="1" applyAlignment="1" applyProtection="1">
      <alignment vertical="center"/>
    </xf>
    <xf numFmtId="164" fontId="56" fillId="0" borderId="0" xfId="1" applyNumberFormat="1" applyFont="1" applyAlignment="1" applyProtection="1"/>
    <xf numFmtId="164" fontId="35" fillId="0" borderId="0" xfId="0" applyFont="1" applyAlignment="1"/>
  </cellXfs>
  <cellStyles count="9">
    <cellStyle name="Hiperłącze" xfId="1" builtinId="8"/>
    <cellStyle name="Hyperlink 2" xfId="2"/>
    <cellStyle name="Normal 2" xfId="3"/>
    <cellStyle name="Normal 3" xfId="4"/>
    <cellStyle name="Normal_Book1" xfId="5"/>
    <cellStyle name="Normal_Flying" xfId="6"/>
    <cellStyle name="Normal_SAILBAL" xfId="7"/>
    <cellStyle name="Normal_Sailplane Calc Form" xf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CC"/>
                </a:solidFill>
                <a:latin typeface="Comic Sans MS"/>
                <a:ea typeface="Comic Sans MS"/>
                <a:cs typeface="Comic Sans MS"/>
              </a:defRPr>
            </a:pPr>
            <a:r>
              <a:rPr lang="en-US"/>
              <a:t>Does your wing look like this?</a:t>
            </a:r>
          </a:p>
        </c:rich>
      </c:tx>
      <c:layout>
        <c:manualLayout>
          <c:xMode val="edge"/>
          <c:yMode val="edge"/>
          <c:x val="0.34132456045734005"/>
          <c:y val="3.2178219101922603E-2"/>
        </c:manualLayout>
      </c:layout>
      <c:overlay val="0"/>
      <c:spPr>
        <a:noFill/>
        <a:ln w="25400">
          <a:noFill/>
        </a:ln>
      </c:spPr>
    </c:title>
    <c:autoTitleDeleted val="0"/>
    <c:plotArea>
      <c:layout>
        <c:manualLayout>
          <c:layoutTarget val="inner"/>
          <c:xMode val="edge"/>
          <c:yMode val="edge"/>
          <c:x val="8.168028004667445E-2"/>
          <c:y val="0.12300829171822376"/>
          <c:w val="0.88798133022170367"/>
          <c:h val="0.71294467501907088"/>
        </c:manualLayout>
      </c:layout>
      <c:scatterChart>
        <c:scatterStyle val="lineMarker"/>
        <c:varyColors val="0"/>
        <c:ser>
          <c:idx val="0"/>
          <c:order val="0"/>
          <c:spPr>
            <a:ln w="25400">
              <a:solidFill>
                <a:srgbClr val="800000"/>
              </a:solidFill>
              <a:prstDash val="solid"/>
            </a:ln>
          </c:spPr>
          <c:marker>
            <c:symbol val="none"/>
          </c:marker>
          <c:xVal>
            <c:numRef>
              <c:f>Wing!$F$23:$F$27</c:f>
              <c:numCache>
                <c:formatCode>General_)</c:formatCode>
                <c:ptCount val="5"/>
                <c:pt idx="0">
                  <c:v>0</c:v>
                </c:pt>
                <c:pt idx="1">
                  <c:v>0</c:v>
                </c:pt>
                <c:pt idx="2">
                  <c:v>888</c:v>
                </c:pt>
                <c:pt idx="3">
                  <c:v>888</c:v>
                </c:pt>
                <c:pt idx="4">
                  <c:v>0</c:v>
                </c:pt>
              </c:numCache>
            </c:numRef>
          </c:xVal>
          <c:yVal>
            <c:numRef>
              <c:f>Wing!$G$23:$G$27</c:f>
              <c:numCache>
                <c:formatCode>General_)</c:formatCode>
                <c:ptCount val="5"/>
                <c:pt idx="0">
                  <c:v>0</c:v>
                </c:pt>
                <c:pt idx="1">
                  <c:v>300</c:v>
                </c:pt>
                <c:pt idx="2">
                  <c:v>300</c:v>
                </c:pt>
                <c:pt idx="3">
                  <c:v>0</c:v>
                </c:pt>
                <c:pt idx="4">
                  <c:v>0</c:v>
                </c:pt>
              </c:numCache>
            </c:numRef>
          </c:yVal>
          <c:smooth val="0"/>
        </c:ser>
        <c:ser>
          <c:idx val="1"/>
          <c:order val="1"/>
          <c:spPr>
            <a:ln w="25400">
              <a:solidFill>
                <a:srgbClr val="800000"/>
              </a:solidFill>
              <a:prstDash val="solid"/>
            </a:ln>
          </c:spPr>
          <c:marker>
            <c:symbol val="none"/>
          </c:marker>
          <c:xVal>
            <c:numRef>
              <c:f>Wing!$H$23:$H$26</c:f>
              <c:numCache>
                <c:formatCode>General_)</c:formatCode>
                <c:ptCount val="4"/>
                <c:pt idx="0">
                  <c:v>888</c:v>
                </c:pt>
                <c:pt idx="1">
                  <c:v>1606</c:v>
                </c:pt>
                <c:pt idx="2">
                  <c:v>1606</c:v>
                </c:pt>
                <c:pt idx="3">
                  <c:v>888</c:v>
                </c:pt>
              </c:numCache>
            </c:numRef>
          </c:xVal>
          <c:yVal>
            <c:numRef>
              <c:f>Wing!$I$23:$I$26</c:f>
              <c:numCache>
                <c:formatCode>General_)</c:formatCode>
                <c:ptCount val="4"/>
                <c:pt idx="0">
                  <c:v>300</c:v>
                </c:pt>
                <c:pt idx="1">
                  <c:v>254</c:v>
                </c:pt>
                <c:pt idx="2">
                  <c:v>80</c:v>
                </c:pt>
                <c:pt idx="3">
                  <c:v>0</c:v>
                </c:pt>
              </c:numCache>
            </c:numRef>
          </c:yVal>
          <c:smooth val="0"/>
        </c:ser>
        <c:ser>
          <c:idx val="2"/>
          <c:order val="2"/>
          <c:spPr>
            <a:ln w="25400">
              <a:solidFill>
                <a:srgbClr val="800000"/>
              </a:solidFill>
              <a:prstDash val="solid"/>
            </a:ln>
          </c:spPr>
          <c:marker>
            <c:symbol val="none"/>
          </c:marker>
          <c:xVal>
            <c:numRef>
              <c:f>Wing!$J$23:$J$26</c:f>
              <c:numCache>
                <c:formatCode>General_)</c:formatCode>
                <c:ptCount val="4"/>
                <c:pt idx="0">
                  <c:v>1606</c:v>
                </c:pt>
                <c:pt idx="1">
                  <c:v>1684</c:v>
                </c:pt>
                <c:pt idx="2">
                  <c:v>1684</c:v>
                </c:pt>
                <c:pt idx="3">
                  <c:v>1606</c:v>
                </c:pt>
              </c:numCache>
            </c:numRef>
          </c:xVal>
          <c:yVal>
            <c:numRef>
              <c:f>Wing!$K$23:$K$26</c:f>
              <c:numCache>
                <c:formatCode>General_)</c:formatCode>
                <c:ptCount val="4"/>
                <c:pt idx="0">
                  <c:v>254</c:v>
                </c:pt>
                <c:pt idx="1">
                  <c:v>194</c:v>
                </c:pt>
                <c:pt idx="2">
                  <c:v>92</c:v>
                </c:pt>
                <c:pt idx="3">
                  <c:v>80</c:v>
                </c:pt>
              </c:numCache>
            </c:numRef>
          </c:yVal>
          <c:smooth val="0"/>
        </c:ser>
        <c:ser>
          <c:idx val="3"/>
          <c:order val="3"/>
          <c:spPr>
            <a:ln w="12700">
              <a:solidFill>
                <a:srgbClr val="800000"/>
              </a:solidFill>
              <a:prstDash val="solid"/>
            </a:ln>
          </c:spPr>
          <c:marker>
            <c:symbol val="diamond"/>
            <c:size val="8"/>
            <c:spPr>
              <a:solidFill>
                <a:srgbClr val="0000FF"/>
              </a:solidFill>
              <a:ln>
                <a:solidFill>
                  <a:srgbClr val="0000FF"/>
                </a:solidFill>
                <a:prstDash val="solid"/>
              </a:ln>
            </c:spPr>
          </c:marker>
          <c:xVal>
            <c:numRef>
              <c:f>Wing!$L$15</c:f>
              <c:numCache>
                <c:formatCode>General_)</c:formatCode>
                <c:ptCount val="1"/>
              </c:numCache>
            </c:numRef>
          </c:xVal>
          <c:yVal>
            <c:numRef>
              <c:f>Wing!$M$15</c:f>
              <c:numCache>
                <c:formatCode>0.00</c:formatCode>
                <c:ptCount val="1"/>
              </c:numCache>
            </c:numRef>
          </c:yVal>
          <c:smooth val="0"/>
        </c:ser>
        <c:ser>
          <c:idx val="4"/>
          <c:order val="4"/>
          <c:spPr>
            <a:ln w="12700">
              <a:solidFill>
                <a:srgbClr val="800080"/>
              </a:solidFill>
              <a:prstDash val="solid"/>
            </a:ln>
          </c:spPr>
          <c:marker>
            <c:symbol val="dash"/>
            <c:size val="9"/>
            <c:spPr>
              <a:solidFill>
                <a:srgbClr val="FF0000"/>
              </a:solidFill>
              <a:ln>
                <a:solidFill>
                  <a:srgbClr val="FF0000"/>
                </a:solidFill>
                <a:prstDash val="solid"/>
              </a:ln>
            </c:spPr>
          </c:marker>
          <c:xVal>
            <c:numLit>
              <c:formatCode>General</c:formatCode>
              <c:ptCount val="1"/>
              <c:pt idx="0">
                <c:v>0</c:v>
              </c:pt>
            </c:numLit>
          </c:xVal>
          <c:yVal>
            <c:numRef>
              <c:f>Wing!$M$16</c:f>
              <c:numCache>
                <c:formatCode>0.00</c:formatCode>
                <c:ptCount val="1"/>
              </c:numCache>
            </c:numRef>
          </c:yVal>
          <c:smooth val="0"/>
        </c:ser>
        <c:ser>
          <c:idx val="5"/>
          <c:order val="5"/>
          <c:spPr>
            <a:ln w="25400">
              <a:solidFill>
                <a:srgbClr val="800000"/>
              </a:solidFill>
              <a:prstDash val="solid"/>
            </a:ln>
          </c:spPr>
          <c:marker>
            <c:symbol val="square"/>
            <c:size val="3"/>
            <c:spPr>
              <a:noFill/>
              <a:ln w="9525">
                <a:noFill/>
              </a:ln>
            </c:spPr>
          </c:marker>
          <c:xVal>
            <c:numRef>
              <c:f>Wing!$L$23:$L$26</c:f>
              <c:numCache>
                <c:formatCode>General_)</c:formatCode>
                <c:ptCount val="4"/>
                <c:pt idx="0">
                  <c:v>1684</c:v>
                </c:pt>
                <c:pt idx="1">
                  <c:v>1704</c:v>
                </c:pt>
                <c:pt idx="2">
                  <c:v>1704</c:v>
                </c:pt>
                <c:pt idx="3">
                  <c:v>1684</c:v>
                </c:pt>
              </c:numCache>
            </c:numRef>
          </c:xVal>
          <c:yVal>
            <c:numRef>
              <c:f>Wing!$M$23:$M$26</c:f>
              <c:numCache>
                <c:formatCode>General_)</c:formatCode>
                <c:ptCount val="4"/>
                <c:pt idx="0">
                  <c:v>194</c:v>
                </c:pt>
                <c:pt idx="1">
                  <c:v>114</c:v>
                </c:pt>
                <c:pt idx="2">
                  <c:v>114</c:v>
                </c:pt>
                <c:pt idx="3">
                  <c:v>92</c:v>
                </c:pt>
              </c:numCache>
            </c:numRef>
          </c:yVal>
          <c:smooth val="0"/>
        </c:ser>
        <c:ser>
          <c:idx val="6"/>
          <c:order val="6"/>
          <c:tx>
            <c:v>NP</c:v>
          </c:tx>
          <c:spPr>
            <a:ln w="25400" cmpd="sng">
              <a:solidFill>
                <a:srgbClr val="FF0000"/>
              </a:solidFill>
            </a:ln>
          </c:spPr>
          <c:marker>
            <c:symbol val="triangle"/>
            <c:size val="7"/>
            <c:spPr>
              <a:solidFill>
                <a:srgbClr val="FF0000"/>
              </a:solidFill>
              <a:ln w="25400" cmpd="sng">
                <a:solidFill>
                  <a:srgbClr val="FF0000"/>
                </a:solidFill>
              </a:ln>
            </c:spPr>
          </c:marker>
          <c:dPt>
            <c:idx val="0"/>
            <c:bubble3D val="0"/>
          </c:dPt>
          <c:xVal>
            <c:numRef>
              <c:f>Wing!$F$29</c:f>
              <c:numCache>
                <c:formatCode>General_)</c:formatCode>
                <c:ptCount val="1"/>
                <c:pt idx="0">
                  <c:v>0</c:v>
                </c:pt>
              </c:numCache>
            </c:numRef>
          </c:xVal>
          <c:yVal>
            <c:numRef>
              <c:f>Wing!$G$29</c:f>
              <c:numCache>
                <c:formatCode>0.00</c:formatCode>
                <c:ptCount val="1"/>
                <c:pt idx="0">
                  <c:v>221.85434593509535</c:v>
                </c:pt>
              </c:numCache>
            </c:numRef>
          </c:yVal>
          <c:smooth val="0"/>
        </c:ser>
        <c:ser>
          <c:idx val="7"/>
          <c:order val="7"/>
          <c:tx>
            <c:v>MAC</c:v>
          </c:tx>
          <c:spPr>
            <a:ln w="25400">
              <a:solidFill>
                <a:srgbClr val="0033CC"/>
              </a:solidFill>
            </a:ln>
          </c:spPr>
          <c:marker>
            <c:symbol val="none"/>
          </c:marker>
          <c:xVal>
            <c:numRef>
              <c:f>Wing!$F$31:$F$32</c:f>
              <c:numCache>
                <c:formatCode>0.00</c:formatCode>
                <c:ptCount val="2"/>
                <c:pt idx="0">
                  <c:v>768.28450094792015</c:v>
                </c:pt>
                <c:pt idx="1">
                  <c:v>768.28450094792015</c:v>
                </c:pt>
              </c:numCache>
            </c:numRef>
          </c:xVal>
          <c:yVal>
            <c:numRef>
              <c:f>Wing!$G$31:$G$32</c:f>
              <c:numCache>
                <c:formatCode>0.00</c:formatCode>
                <c:ptCount val="2"/>
                <c:pt idx="0">
                  <c:v>290.32080294412845</c:v>
                </c:pt>
                <c:pt idx="1">
                  <c:v>16.454974907995961</c:v>
                </c:pt>
              </c:numCache>
            </c:numRef>
          </c:yVal>
          <c:smooth val="0"/>
        </c:ser>
        <c:ser>
          <c:idx val="8"/>
          <c:order val="8"/>
          <c:spPr>
            <a:ln>
              <a:solidFill>
                <a:srgbClr val="FF0000"/>
              </a:solidFill>
              <a:prstDash val="dash"/>
            </a:ln>
          </c:spPr>
          <c:marker>
            <c:symbol val="none"/>
          </c:marker>
          <c:xVal>
            <c:numRef>
              <c:f>Wing!$I$29:$J$29</c:f>
              <c:numCache>
                <c:formatCode>0.00</c:formatCode>
                <c:ptCount val="2"/>
                <c:pt idx="0">
                  <c:v>0</c:v>
                </c:pt>
                <c:pt idx="1">
                  <c:v>768.28450094792015</c:v>
                </c:pt>
              </c:numCache>
            </c:numRef>
          </c:xVal>
          <c:yVal>
            <c:numRef>
              <c:f>Wing!$I$30:$J$30</c:f>
              <c:numCache>
                <c:formatCode>0.00</c:formatCode>
                <c:ptCount val="2"/>
                <c:pt idx="0">
                  <c:v>221.85434593509535</c:v>
                </c:pt>
                <c:pt idx="1">
                  <c:v>221.85434593509535</c:v>
                </c:pt>
              </c:numCache>
            </c:numRef>
          </c:yVal>
          <c:smooth val="0"/>
        </c:ser>
        <c:dLbls>
          <c:showLegendKey val="0"/>
          <c:showVal val="0"/>
          <c:showCatName val="0"/>
          <c:showSerName val="0"/>
          <c:showPercent val="0"/>
          <c:showBubbleSize val="0"/>
        </c:dLbls>
        <c:axId val="199038728"/>
        <c:axId val="390424192"/>
      </c:scatterChart>
      <c:valAx>
        <c:axId val="199038728"/>
        <c:scaling>
          <c:orientation val="minMax"/>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mm</a:t>
                </a:r>
              </a:p>
            </c:rich>
          </c:tx>
          <c:layout>
            <c:manualLayout>
              <c:xMode val="edge"/>
              <c:yMode val="edge"/>
              <c:x val="0.48994978367430098"/>
              <c:y val="0.89671127315982058"/>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390424192"/>
        <c:crosses val="autoZero"/>
        <c:crossBetween val="midCat"/>
      </c:valAx>
      <c:valAx>
        <c:axId val="390424192"/>
        <c:scaling>
          <c:orientation val="minMax"/>
        </c:scaling>
        <c:delete val="0"/>
        <c:axPos val="l"/>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mm</a:t>
                </a:r>
              </a:p>
            </c:rich>
          </c:tx>
          <c:layout>
            <c:manualLayout>
              <c:xMode val="edge"/>
              <c:yMode val="edge"/>
              <c:x val="1.4687735950814367E-2"/>
              <c:y val="0.36428661934499568"/>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1990387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FF"/>
                </a:solidFill>
                <a:latin typeface="Comic Sans MS"/>
                <a:ea typeface="Comic Sans MS"/>
                <a:cs typeface="Comic Sans MS"/>
              </a:defRPr>
            </a:pPr>
            <a:r>
              <a:rPr lang="en-US"/>
              <a:t>Does your Horizontal Tail look like this?</a:t>
            </a:r>
          </a:p>
        </c:rich>
      </c:tx>
      <c:layout>
        <c:manualLayout>
          <c:xMode val="edge"/>
          <c:yMode val="edge"/>
          <c:x val="0.17622950819672131"/>
          <c:y val="4.1322314049586778E-2"/>
        </c:manualLayout>
      </c:layout>
      <c:overlay val="0"/>
      <c:spPr>
        <a:noFill/>
        <a:ln w="25400">
          <a:noFill/>
        </a:ln>
      </c:spPr>
    </c:title>
    <c:autoTitleDeleted val="0"/>
    <c:plotArea>
      <c:layout>
        <c:manualLayout>
          <c:layoutTarget val="inner"/>
          <c:xMode val="edge"/>
          <c:yMode val="edge"/>
          <c:x val="0.1554057472149212"/>
          <c:y val="0.18359410017795597"/>
          <c:w val="0.78829002210467281"/>
          <c:h val="0.60817943211643999"/>
        </c:manualLayout>
      </c:layout>
      <c:scatterChart>
        <c:scatterStyle val="lineMarker"/>
        <c:varyColors val="0"/>
        <c:ser>
          <c:idx val="0"/>
          <c:order val="0"/>
          <c:spPr>
            <a:ln w="25400">
              <a:solidFill>
                <a:srgbClr val="800000"/>
              </a:solidFill>
              <a:prstDash val="solid"/>
            </a:ln>
          </c:spPr>
          <c:marker>
            <c:symbol val="none"/>
          </c:marker>
          <c:xVal>
            <c:numRef>
              <c:f>'Horizontal Stabilizer'!$H$13:$H$17</c:f>
              <c:numCache>
                <c:formatCode>General_)</c:formatCode>
                <c:ptCount val="5"/>
                <c:pt idx="0">
                  <c:v>0</c:v>
                </c:pt>
                <c:pt idx="1">
                  <c:v>0</c:v>
                </c:pt>
                <c:pt idx="2">
                  <c:v>353</c:v>
                </c:pt>
                <c:pt idx="3">
                  <c:v>353</c:v>
                </c:pt>
                <c:pt idx="4">
                  <c:v>0</c:v>
                </c:pt>
              </c:numCache>
            </c:numRef>
          </c:xVal>
          <c:yVal>
            <c:numRef>
              <c:f>'Horizontal Stabilizer'!$I$13:$I$17</c:f>
              <c:numCache>
                <c:formatCode>General_)</c:formatCode>
                <c:ptCount val="5"/>
                <c:pt idx="0">
                  <c:v>0</c:v>
                </c:pt>
                <c:pt idx="1">
                  <c:v>187</c:v>
                </c:pt>
                <c:pt idx="2">
                  <c:v>111</c:v>
                </c:pt>
                <c:pt idx="3">
                  <c:v>24</c:v>
                </c:pt>
                <c:pt idx="4">
                  <c:v>0</c:v>
                </c:pt>
              </c:numCache>
            </c:numRef>
          </c:yVal>
          <c:smooth val="0"/>
        </c:ser>
        <c:ser>
          <c:idx val="1"/>
          <c:order val="1"/>
          <c:spPr>
            <a:ln w="28575">
              <a:noFill/>
            </a:ln>
          </c:spPr>
          <c:marker>
            <c:symbol val="triangle"/>
            <c:size val="7"/>
            <c:spPr>
              <a:solidFill>
                <a:srgbClr val="FF0000"/>
              </a:solidFill>
              <a:ln>
                <a:solidFill>
                  <a:srgbClr val="FF0000"/>
                </a:solidFill>
                <a:prstDash val="solid"/>
              </a:ln>
            </c:spPr>
          </c:marker>
          <c:xVal>
            <c:numRef>
              <c:f>'Horizontal Stabilizer'!$H$19</c:f>
              <c:numCache>
                <c:formatCode>General_)</c:formatCode>
                <c:ptCount val="1"/>
                <c:pt idx="0">
                  <c:v>0</c:v>
                </c:pt>
              </c:numCache>
            </c:numRef>
          </c:xVal>
          <c:yVal>
            <c:numRef>
              <c:f>'Horizontal Stabilizer'!$I$19</c:f>
              <c:numCache>
                <c:formatCode>General_)</c:formatCode>
                <c:ptCount val="1"/>
                <c:pt idx="0">
                  <c:v>117.85218978102191</c:v>
                </c:pt>
              </c:numCache>
            </c:numRef>
          </c:yVal>
          <c:smooth val="0"/>
        </c:ser>
        <c:dLbls>
          <c:showLegendKey val="0"/>
          <c:showVal val="0"/>
          <c:showCatName val="0"/>
          <c:showSerName val="0"/>
          <c:showPercent val="0"/>
          <c:showBubbleSize val="0"/>
        </c:dLbls>
        <c:axId val="200056704"/>
        <c:axId val="200053176"/>
      </c:scatterChart>
      <c:valAx>
        <c:axId val="200056704"/>
        <c:scaling>
          <c:orientation val="minMax"/>
        </c:scaling>
        <c:delete val="0"/>
        <c:axPos val="b"/>
        <c:majorGridlines>
          <c:spPr>
            <a:ln w="12700">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mm</a:t>
                </a:r>
              </a:p>
            </c:rich>
          </c:tx>
          <c:layout>
            <c:manualLayout>
              <c:xMode val="edge"/>
              <c:yMode val="edge"/>
              <c:x val="0.48648767264747639"/>
              <c:y val="0.87109520400858986"/>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200053176"/>
        <c:crosses val="autoZero"/>
        <c:crossBetween val="midCat"/>
      </c:valAx>
      <c:valAx>
        <c:axId val="200053176"/>
        <c:scaling>
          <c:orientation val="minMax"/>
        </c:scaling>
        <c:delete val="0"/>
        <c:axPos val="l"/>
        <c:majorGridlines>
          <c:spPr>
            <a:ln w="12700">
              <a:solidFill>
                <a:srgbClr val="969696"/>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mm</a:t>
                </a:r>
              </a:p>
            </c:rich>
          </c:tx>
          <c:layout>
            <c:manualLayout>
              <c:xMode val="edge"/>
              <c:yMode val="edge"/>
              <c:x val="1.5765672733531258E-2"/>
              <c:y val="0.41015726339992625"/>
            </c:manualLayout>
          </c:layout>
          <c:overlay val="0"/>
          <c:spPr>
            <a:noFill/>
            <a:ln w="25400">
              <a:noFill/>
            </a:ln>
          </c:spPr>
        </c:title>
        <c:numFmt formatCode="General_)"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2000567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FF"/>
                </a:solidFill>
                <a:latin typeface="Arial"/>
                <a:ea typeface="Arial"/>
                <a:cs typeface="Arial"/>
              </a:defRPr>
            </a:pPr>
            <a:r>
              <a:rPr lang="en-US"/>
              <a:t>Does your Vertical Tail look like this?</a:t>
            </a:r>
          </a:p>
        </c:rich>
      </c:tx>
      <c:layout>
        <c:manualLayout>
          <c:xMode val="edge"/>
          <c:yMode val="edge"/>
          <c:x val="0.1620795107033639"/>
          <c:y val="3.1578947368421054E-2"/>
        </c:manualLayout>
      </c:layout>
      <c:overlay val="0"/>
      <c:spPr>
        <a:noFill/>
        <a:ln w="25400">
          <a:noFill/>
        </a:ln>
      </c:spPr>
    </c:title>
    <c:autoTitleDeleted val="0"/>
    <c:plotArea>
      <c:layout>
        <c:manualLayout>
          <c:layoutTarget val="inner"/>
          <c:xMode val="edge"/>
          <c:yMode val="edge"/>
          <c:x val="0.15902188163549322"/>
          <c:y val="0.12319104848736014"/>
          <c:w val="0.77370261641884208"/>
          <c:h val="0.76975410968365798"/>
        </c:manualLayout>
      </c:layout>
      <c:scatterChart>
        <c:scatterStyle val="lineMarker"/>
        <c:varyColors val="0"/>
        <c:ser>
          <c:idx val="0"/>
          <c:order val="0"/>
          <c:tx>
            <c:strRef>
              <c:f>'Vertical Stabilizer'!$G$11</c:f>
              <c:strCache>
                <c:ptCount val="1"/>
                <c:pt idx="0">
                  <c:v>Span</c:v>
                </c:pt>
              </c:strCache>
            </c:strRef>
          </c:tx>
          <c:spPr>
            <a:ln w="25400">
              <a:solidFill>
                <a:srgbClr val="800000"/>
              </a:solidFill>
              <a:prstDash val="solid"/>
            </a:ln>
          </c:spPr>
          <c:marker>
            <c:symbol val="none"/>
          </c:marker>
          <c:dPt>
            <c:idx val="10"/>
            <c:marker>
              <c:symbol val="triangle"/>
              <c:size val="7"/>
              <c:spPr>
                <a:solidFill>
                  <a:srgbClr val="FF0000"/>
                </a:solidFill>
                <a:ln>
                  <a:solidFill>
                    <a:srgbClr val="FF0000"/>
                  </a:solidFill>
                  <a:prstDash val="solid"/>
                </a:ln>
              </c:spPr>
            </c:marker>
            <c:bubble3D val="0"/>
            <c:spPr>
              <a:ln w="25400">
                <a:solidFill>
                  <a:srgbClr val="FF0000"/>
                </a:solidFill>
                <a:prstDash val="solid"/>
              </a:ln>
            </c:spPr>
          </c:dPt>
          <c:xVal>
            <c:numRef>
              <c:f>'Vertical Stabilizer'!$F$12:$F$22</c:f>
              <c:numCache>
                <c:formatCode>General_)</c:formatCode>
                <c:ptCount val="11"/>
                <c:pt idx="0" formatCode="General">
                  <c:v>0</c:v>
                </c:pt>
                <c:pt idx="1">
                  <c:v>0</c:v>
                </c:pt>
                <c:pt idx="2">
                  <c:v>181</c:v>
                </c:pt>
                <c:pt idx="3">
                  <c:v>308</c:v>
                </c:pt>
                <c:pt idx="4">
                  <c:v>0</c:v>
                </c:pt>
                <c:pt idx="5">
                  <c:v>20</c:v>
                </c:pt>
                <c:pt idx="6">
                  <c:v>320</c:v>
                </c:pt>
                <c:pt idx="7">
                  <c:v>308</c:v>
                </c:pt>
                <c:pt idx="8" formatCode="General">
                  <c:v>0</c:v>
                </c:pt>
                <c:pt idx="10">
                  <c:v>65.093791681823689</c:v>
                </c:pt>
              </c:numCache>
            </c:numRef>
          </c:xVal>
          <c:yVal>
            <c:numRef>
              <c:f>'Vertical Stabilizer'!$G$12:$G$22</c:f>
              <c:numCache>
                <c:formatCode>General_)</c:formatCode>
                <c:ptCount val="11"/>
                <c:pt idx="0" formatCode="General">
                  <c:v>0</c:v>
                </c:pt>
                <c:pt idx="1">
                  <c:v>270</c:v>
                </c:pt>
                <c:pt idx="2">
                  <c:v>270</c:v>
                </c:pt>
                <c:pt idx="3">
                  <c:v>0</c:v>
                </c:pt>
                <c:pt idx="4">
                  <c:v>0</c:v>
                </c:pt>
                <c:pt idx="5">
                  <c:v>-27</c:v>
                </c:pt>
                <c:pt idx="6">
                  <c:v>-27</c:v>
                </c:pt>
                <c:pt idx="7" formatCode="General">
                  <c:v>0</c:v>
                </c:pt>
                <c:pt idx="8" formatCode="General">
                  <c:v>0</c:v>
                </c:pt>
                <c:pt idx="10" formatCode="General">
                  <c:v>0</c:v>
                </c:pt>
              </c:numCache>
            </c:numRef>
          </c:yVal>
          <c:smooth val="0"/>
        </c:ser>
        <c:dLbls>
          <c:showLegendKey val="0"/>
          <c:showVal val="0"/>
          <c:showCatName val="0"/>
          <c:showSerName val="0"/>
          <c:showPercent val="0"/>
          <c:showBubbleSize val="0"/>
        </c:dLbls>
        <c:axId val="200057880"/>
        <c:axId val="200058272"/>
      </c:scatterChart>
      <c:valAx>
        <c:axId val="20005788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US"/>
                  <a:t>mm</a:t>
                </a:r>
              </a:p>
            </c:rich>
          </c:tx>
          <c:layout>
            <c:manualLayout>
              <c:xMode val="edge"/>
              <c:yMode val="edge"/>
              <c:x val="0.48012360840216073"/>
              <c:y val="0.911854123497720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200058272"/>
        <c:crosses val="autoZero"/>
        <c:crossBetween val="midCat"/>
      </c:valAx>
      <c:valAx>
        <c:axId val="20005827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mm</a:t>
                </a:r>
              </a:p>
            </c:rich>
          </c:tx>
          <c:layout>
            <c:manualLayout>
              <c:xMode val="edge"/>
              <c:yMode val="edge"/>
              <c:x val="2.4464831804281346E-2"/>
              <c:y val="0.44072938251139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l-PL"/>
          </a:p>
        </c:txPr>
        <c:crossAx val="2000578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pageMargins b="1" l="0.75" r="0.75" t="1" header="0.5" footer="0.5"/>
    <c:pageSetup orientation="landscape" horizontalDpi="-2" verticalDpi="-2"/>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FF"/>
                </a:solidFill>
                <a:latin typeface="Comic Sans MS"/>
                <a:ea typeface="Comic Sans MS"/>
                <a:cs typeface="Comic Sans MS"/>
              </a:defRPr>
            </a:pPr>
            <a:r>
              <a:rPr lang="en-US"/>
              <a:t>Does your wing look like this?</a:t>
            </a:r>
          </a:p>
        </c:rich>
      </c:tx>
      <c:layout>
        <c:manualLayout>
          <c:xMode val="edge"/>
          <c:yMode val="edge"/>
          <c:x val="0.25000010920964977"/>
          <c:y val="3.6789178782119319E-2"/>
        </c:manualLayout>
      </c:layout>
      <c:overlay val="0"/>
      <c:spPr>
        <a:noFill/>
        <a:ln w="25400">
          <a:noFill/>
        </a:ln>
      </c:spPr>
    </c:title>
    <c:autoTitleDeleted val="0"/>
    <c:plotArea>
      <c:layout>
        <c:manualLayout>
          <c:layoutTarget val="inner"/>
          <c:xMode val="edge"/>
          <c:yMode val="edge"/>
          <c:x val="0.10731196322353197"/>
          <c:y val="0.16088328075709779"/>
          <c:w val="0.85864464427153708"/>
          <c:h val="0.6591763618139711"/>
        </c:manualLayout>
      </c:layout>
      <c:scatterChart>
        <c:scatterStyle val="lineMarker"/>
        <c:varyColors val="0"/>
        <c:ser>
          <c:idx val="0"/>
          <c:order val="0"/>
          <c:spPr>
            <a:ln w="25400">
              <a:solidFill>
                <a:srgbClr val="800000"/>
              </a:solidFill>
              <a:prstDash val="solid"/>
            </a:ln>
          </c:spPr>
          <c:marker>
            <c:symbol val="none"/>
          </c:marker>
          <c:xVal>
            <c:numRef>
              <c:f>'Balance Point'!$B$14:$B$18</c:f>
              <c:numCache>
                <c:formatCode>General_)</c:formatCode>
                <c:ptCount val="5"/>
                <c:pt idx="0">
                  <c:v>0</c:v>
                </c:pt>
                <c:pt idx="1">
                  <c:v>0</c:v>
                </c:pt>
                <c:pt idx="2">
                  <c:v>888</c:v>
                </c:pt>
                <c:pt idx="3">
                  <c:v>888</c:v>
                </c:pt>
                <c:pt idx="4">
                  <c:v>0</c:v>
                </c:pt>
              </c:numCache>
            </c:numRef>
          </c:xVal>
          <c:yVal>
            <c:numRef>
              <c:f>'Balance Point'!$C$14:$C$18</c:f>
              <c:numCache>
                <c:formatCode>General_)</c:formatCode>
                <c:ptCount val="5"/>
                <c:pt idx="0">
                  <c:v>0</c:v>
                </c:pt>
                <c:pt idx="1">
                  <c:v>300</c:v>
                </c:pt>
                <c:pt idx="2">
                  <c:v>300</c:v>
                </c:pt>
                <c:pt idx="3">
                  <c:v>0</c:v>
                </c:pt>
                <c:pt idx="4">
                  <c:v>0</c:v>
                </c:pt>
              </c:numCache>
            </c:numRef>
          </c:yVal>
          <c:smooth val="0"/>
        </c:ser>
        <c:ser>
          <c:idx val="1"/>
          <c:order val="1"/>
          <c:spPr>
            <a:ln w="25400">
              <a:solidFill>
                <a:srgbClr val="800000"/>
              </a:solidFill>
              <a:prstDash val="solid"/>
            </a:ln>
          </c:spPr>
          <c:marker>
            <c:symbol val="none"/>
          </c:marker>
          <c:xVal>
            <c:numRef>
              <c:f>'Balance Point'!$D$14:$D$17</c:f>
              <c:numCache>
                <c:formatCode>General_)</c:formatCode>
                <c:ptCount val="4"/>
                <c:pt idx="0">
                  <c:v>888</c:v>
                </c:pt>
                <c:pt idx="1">
                  <c:v>1606</c:v>
                </c:pt>
                <c:pt idx="2">
                  <c:v>1606</c:v>
                </c:pt>
                <c:pt idx="3">
                  <c:v>888</c:v>
                </c:pt>
              </c:numCache>
            </c:numRef>
          </c:xVal>
          <c:yVal>
            <c:numRef>
              <c:f>'Balance Point'!$E$14:$E$17</c:f>
              <c:numCache>
                <c:formatCode>General_)</c:formatCode>
                <c:ptCount val="4"/>
                <c:pt idx="0">
                  <c:v>300</c:v>
                </c:pt>
                <c:pt idx="1">
                  <c:v>254</c:v>
                </c:pt>
                <c:pt idx="2">
                  <c:v>80</c:v>
                </c:pt>
                <c:pt idx="3">
                  <c:v>0</c:v>
                </c:pt>
              </c:numCache>
            </c:numRef>
          </c:yVal>
          <c:smooth val="0"/>
        </c:ser>
        <c:ser>
          <c:idx val="2"/>
          <c:order val="2"/>
          <c:spPr>
            <a:ln w="25400">
              <a:solidFill>
                <a:srgbClr val="800000"/>
              </a:solidFill>
              <a:prstDash val="solid"/>
            </a:ln>
          </c:spPr>
          <c:marker>
            <c:symbol val="none"/>
          </c:marker>
          <c:xVal>
            <c:numRef>
              <c:f>'Balance Point'!$F$14:$F$17</c:f>
              <c:numCache>
                <c:formatCode>General_)</c:formatCode>
                <c:ptCount val="4"/>
                <c:pt idx="0">
                  <c:v>1606</c:v>
                </c:pt>
                <c:pt idx="1">
                  <c:v>1684</c:v>
                </c:pt>
                <c:pt idx="2">
                  <c:v>1684</c:v>
                </c:pt>
                <c:pt idx="3">
                  <c:v>1606</c:v>
                </c:pt>
              </c:numCache>
            </c:numRef>
          </c:xVal>
          <c:yVal>
            <c:numRef>
              <c:f>'Balance Point'!$G$14:$G$17</c:f>
              <c:numCache>
                <c:formatCode>General_)</c:formatCode>
                <c:ptCount val="4"/>
                <c:pt idx="0">
                  <c:v>254</c:v>
                </c:pt>
                <c:pt idx="1">
                  <c:v>194</c:v>
                </c:pt>
                <c:pt idx="2">
                  <c:v>92</c:v>
                </c:pt>
                <c:pt idx="3">
                  <c:v>80</c:v>
                </c:pt>
              </c:numCache>
            </c:numRef>
          </c:yVal>
          <c:smooth val="0"/>
        </c:ser>
        <c:ser>
          <c:idx val="3"/>
          <c:order val="3"/>
          <c:spPr>
            <a:ln w="12700">
              <a:solidFill>
                <a:srgbClr val="800000"/>
              </a:solidFill>
              <a:prstDash val="solid"/>
            </a:ln>
          </c:spPr>
          <c:marker>
            <c:symbol val="dash"/>
            <c:size val="9"/>
            <c:spPr>
              <a:solidFill>
                <a:srgbClr val="0000FF"/>
              </a:solidFill>
              <a:ln>
                <a:solidFill>
                  <a:srgbClr val="0000FF"/>
                </a:solidFill>
                <a:prstDash val="solid"/>
              </a:ln>
            </c:spPr>
          </c:marker>
          <c:xVal>
            <c:numRef>
              <c:f>'Balance Point'!$B$20</c:f>
              <c:numCache>
                <c:formatCode>General_)</c:formatCode>
                <c:ptCount val="1"/>
                <c:pt idx="0">
                  <c:v>0</c:v>
                </c:pt>
              </c:numCache>
            </c:numRef>
          </c:xVal>
          <c:yVal>
            <c:numRef>
              <c:f>'Balance Point'!$C$20</c:f>
              <c:numCache>
                <c:formatCode>0.00</c:formatCode>
                <c:ptCount val="1"/>
                <c:pt idx="0">
                  <c:v>194.37416399075335</c:v>
                </c:pt>
              </c:numCache>
            </c:numRef>
          </c:yVal>
          <c:smooth val="0"/>
        </c:ser>
        <c:ser>
          <c:idx val="4"/>
          <c:order val="4"/>
          <c:spPr>
            <a:ln w="12700">
              <a:solidFill>
                <a:srgbClr val="800080"/>
              </a:solidFill>
              <a:prstDash val="solid"/>
            </a:ln>
          </c:spPr>
          <c:marker>
            <c:symbol val="triangle"/>
            <c:size val="7"/>
            <c:spPr>
              <a:solidFill>
                <a:srgbClr val="FF0000"/>
              </a:solidFill>
              <a:ln>
                <a:solidFill>
                  <a:srgbClr val="FF0000"/>
                </a:solidFill>
                <a:prstDash val="solid"/>
              </a:ln>
            </c:spPr>
          </c:marker>
          <c:xVal>
            <c:numLit>
              <c:formatCode>General</c:formatCode>
              <c:ptCount val="1"/>
              <c:pt idx="0">
                <c:v>0</c:v>
              </c:pt>
            </c:numLit>
          </c:xVal>
          <c:yVal>
            <c:numRef>
              <c:f>'Balance Point'!$C$21</c:f>
              <c:numCache>
                <c:formatCode>0.00</c:formatCode>
                <c:ptCount val="1"/>
                <c:pt idx="0">
                  <c:v>186.15818914966934</c:v>
                </c:pt>
              </c:numCache>
            </c:numRef>
          </c:yVal>
          <c:smooth val="0"/>
        </c:ser>
        <c:ser>
          <c:idx val="5"/>
          <c:order val="5"/>
          <c:spPr>
            <a:ln w="25400">
              <a:solidFill>
                <a:srgbClr val="800000"/>
              </a:solidFill>
              <a:prstDash val="solid"/>
            </a:ln>
          </c:spPr>
          <c:marker>
            <c:symbol val="none"/>
          </c:marker>
          <c:xVal>
            <c:numRef>
              <c:f>'Balance Point'!$H$14:$H$17</c:f>
              <c:numCache>
                <c:formatCode>General_)</c:formatCode>
                <c:ptCount val="4"/>
                <c:pt idx="0">
                  <c:v>1684</c:v>
                </c:pt>
                <c:pt idx="1">
                  <c:v>1704</c:v>
                </c:pt>
                <c:pt idx="2">
                  <c:v>1704</c:v>
                </c:pt>
                <c:pt idx="3">
                  <c:v>1684</c:v>
                </c:pt>
              </c:numCache>
            </c:numRef>
          </c:xVal>
          <c:yVal>
            <c:numRef>
              <c:f>'Balance Point'!$I$14:$I$17</c:f>
              <c:numCache>
                <c:formatCode>General_)</c:formatCode>
                <c:ptCount val="4"/>
                <c:pt idx="0">
                  <c:v>194</c:v>
                </c:pt>
                <c:pt idx="1">
                  <c:v>114</c:v>
                </c:pt>
                <c:pt idx="2">
                  <c:v>114</c:v>
                </c:pt>
                <c:pt idx="3">
                  <c:v>92</c:v>
                </c:pt>
              </c:numCache>
            </c:numRef>
          </c:yVal>
          <c:smooth val="0"/>
        </c:ser>
        <c:ser>
          <c:idx val="6"/>
          <c:order val="6"/>
          <c:tx>
            <c:v>MAC</c:v>
          </c:tx>
          <c:spPr>
            <a:ln w="31750">
              <a:solidFill>
                <a:srgbClr val="0033CC"/>
              </a:solidFill>
            </a:ln>
          </c:spPr>
          <c:marker>
            <c:symbol val="none"/>
          </c:marker>
          <c:xVal>
            <c:numRef>
              <c:f>'Balance Point'!$B$23:$B$24</c:f>
              <c:numCache>
                <c:formatCode>0.00</c:formatCode>
                <c:ptCount val="2"/>
                <c:pt idx="0">
                  <c:v>768.28450094792015</c:v>
                </c:pt>
                <c:pt idx="1">
                  <c:v>768.28450094792015</c:v>
                </c:pt>
              </c:numCache>
            </c:numRef>
          </c:xVal>
          <c:yVal>
            <c:numRef>
              <c:f>'Balance Point'!$C$23:$C$24</c:f>
              <c:numCache>
                <c:formatCode>0.00</c:formatCode>
                <c:ptCount val="2"/>
                <c:pt idx="0">
                  <c:v>290.32080294412845</c:v>
                </c:pt>
                <c:pt idx="1">
                  <c:v>16.454974907995961</c:v>
                </c:pt>
              </c:numCache>
            </c:numRef>
          </c:yVal>
          <c:smooth val="0"/>
        </c:ser>
        <c:ser>
          <c:idx val="7"/>
          <c:order val="7"/>
          <c:marker>
            <c:symbol val="none"/>
          </c:marker>
          <c:dPt>
            <c:idx val="1"/>
            <c:bubble3D val="0"/>
            <c:spPr>
              <a:ln>
                <a:solidFill>
                  <a:srgbClr val="FF0000"/>
                </a:solidFill>
                <a:prstDash val="dash"/>
              </a:ln>
            </c:spPr>
          </c:dPt>
          <c:xVal>
            <c:numRef>
              <c:f>'Balance Point'!$E$21:$F$21</c:f>
              <c:numCache>
                <c:formatCode>0.00</c:formatCode>
                <c:ptCount val="2"/>
                <c:pt idx="0">
                  <c:v>0</c:v>
                </c:pt>
                <c:pt idx="1">
                  <c:v>768.28450094792015</c:v>
                </c:pt>
              </c:numCache>
            </c:numRef>
          </c:xVal>
          <c:yVal>
            <c:numRef>
              <c:f>'Balance Point'!$E$22:$F$22</c:f>
              <c:numCache>
                <c:formatCode>0.00</c:formatCode>
                <c:ptCount val="2"/>
                <c:pt idx="0">
                  <c:v>186.15818914966934</c:v>
                </c:pt>
                <c:pt idx="1">
                  <c:v>186.15818914966934</c:v>
                </c:pt>
              </c:numCache>
            </c:numRef>
          </c:yVal>
          <c:smooth val="0"/>
        </c:ser>
        <c:dLbls>
          <c:showLegendKey val="0"/>
          <c:showVal val="0"/>
          <c:showCatName val="0"/>
          <c:showSerName val="0"/>
          <c:showPercent val="0"/>
          <c:showBubbleSize val="0"/>
        </c:dLbls>
        <c:axId val="200051608"/>
        <c:axId val="200052000"/>
      </c:scatterChart>
      <c:valAx>
        <c:axId val="200051608"/>
        <c:scaling>
          <c:orientation val="minMax"/>
        </c:scaling>
        <c:delete val="0"/>
        <c:axPos val="b"/>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mm</a:t>
                </a:r>
              </a:p>
            </c:rich>
          </c:tx>
          <c:layout>
            <c:manualLayout>
              <c:xMode val="edge"/>
              <c:yMode val="edge"/>
              <c:x val="0.47873025580540296"/>
              <c:y val="0.89389282452546093"/>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l-PL"/>
          </a:p>
        </c:txPr>
        <c:crossAx val="200052000"/>
        <c:crosses val="autoZero"/>
        <c:crossBetween val="midCat"/>
      </c:valAx>
      <c:valAx>
        <c:axId val="20005200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mm</a:t>
                </a:r>
              </a:p>
            </c:rich>
          </c:tx>
          <c:layout>
            <c:manualLayout>
              <c:xMode val="edge"/>
              <c:yMode val="edge"/>
              <c:x val="1.0770983724121864E-2"/>
              <c:y val="0.43839820962818521"/>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l-PL"/>
          </a:p>
        </c:txPr>
        <c:crossAx val="2000516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pl-PL"/>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FF"/>
                </a:solidFill>
                <a:latin typeface="Arial"/>
                <a:ea typeface="Arial"/>
                <a:cs typeface="Arial"/>
              </a:defRPr>
            </a:pPr>
            <a:r>
              <a:rPr lang="en-US"/>
              <a:t>Does your Dihedral Look like this?</a:t>
            </a:r>
          </a:p>
        </c:rich>
      </c:tx>
      <c:layout>
        <c:manualLayout>
          <c:xMode val="edge"/>
          <c:yMode val="edge"/>
          <c:x val="0.2615658573224971"/>
          <c:y val="3.873239436619718E-2"/>
        </c:manualLayout>
      </c:layout>
      <c:overlay val="0"/>
      <c:spPr>
        <a:noFill/>
        <a:ln w="25400">
          <a:noFill/>
        </a:ln>
      </c:spPr>
    </c:title>
    <c:autoTitleDeleted val="0"/>
    <c:plotArea>
      <c:layout>
        <c:manualLayout>
          <c:layoutTarget val="inner"/>
          <c:xMode val="edge"/>
          <c:yMode val="edge"/>
          <c:x val="0.12752094600274611"/>
          <c:y val="0.19366197183098591"/>
          <c:w val="0.81554048626483966"/>
          <c:h val="0.57042253521126762"/>
        </c:manualLayout>
      </c:layout>
      <c:scatterChart>
        <c:scatterStyle val="lineMarker"/>
        <c:varyColors val="0"/>
        <c:ser>
          <c:idx val="0"/>
          <c:order val="0"/>
          <c:tx>
            <c:strRef>
              <c:f>'Wing Dihedral'!$D$22</c:f>
              <c:strCache>
                <c:ptCount val="1"/>
                <c:pt idx="0">
                  <c:v>Chord</c:v>
                </c:pt>
              </c:strCache>
            </c:strRef>
          </c:tx>
          <c:spPr>
            <a:ln w="38100">
              <a:solidFill>
                <a:srgbClr val="800000"/>
              </a:solidFill>
              <a:prstDash val="solid"/>
            </a:ln>
          </c:spPr>
          <c:marker>
            <c:symbol val="none"/>
          </c:marker>
          <c:xVal>
            <c:numRef>
              <c:f>'Wing Dihedral'!$C$23:$C$27</c:f>
              <c:numCache>
                <c:formatCode>General_)</c:formatCode>
                <c:ptCount val="5"/>
                <c:pt idx="0">
                  <c:v>0</c:v>
                </c:pt>
                <c:pt idx="1">
                  <c:v>888</c:v>
                </c:pt>
                <c:pt idx="2">
                  <c:v>1606</c:v>
                </c:pt>
                <c:pt idx="3">
                  <c:v>1684</c:v>
                </c:pt>
                <c:pt idx="4">
                  <c:v>1704</c:v>
                </c:pt>
              </c:numCache>
            </c:numRef>
          </c:xVal>
          <c:yVal>
            <c:numRef>
              <c:f>'Wing Dihedral'!$D$23:$D$27</c:f>
              <c:numCache>
                <c:formatCode>General_)</c:formatCode>
                <c:ptCount val="5"/>
                <c:pt idx="0">
                  <c:v>0</c:v>
                </c:pt>
                <c:pt idx="1">
                  <c:v>46.47</c:v>
                </c:pt>
                <c:pt idx="2">
                  <c:v>256.39999999999998</c:v>
                </c:pt>
                <c:pt idx="3">
                  <c:v>279.2</c:v>
                </c:pt>
                <c:pt idx="4">
                  <c:v>286.04000000000002</c:v>
                </c:pt>
              </c:numCache>
            </c:numRef>
          </c:yVal>
          <c:smooth val="0"/>
        </c:ser>
        <c:dLbls>
          <c:showLegendKey val="0"/>
          <c:showVal val="0"/>
          <c:showCatName val="0"/>
          <c:showSerName val="0"/>
          <c:showPercent val="0"/>
          <c:showBubbleSize val="0"/>
        </c:dLbls>
        <c:axId val="390979976"/>
        <c:axId val="390980760"/>
      </c:scatterChart>
      <c:valAx>
        <c:axId val="390979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mm</a:t>
                </a:r>
              </a:p>
            </c:rich>
          </c:tx>
          <c:layout>
            <c:manualLayout>
              <c:xMode val="edge"/>
              <c:yMode val="edge"/>
              <c:x val="0.48398612552852116"/>
              <c:y val="0.86971830985915488"/>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l-PL"/>
          </a:p>
        </c:txPr>
        <c:crossAx val="390980760"/>
        <c:crosses val="autoZero"/>
        <c:crossBetween val="midCat"/>
      </c:valAx>
      <c:valAx>
        <c:axId val="390980760"/>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mm</a:t>
                </a:r>
              </a:p>
            </c:rich>
          </c:tx>
          <c:layout>
            <c:manualLayout>
              <c:xMode val="edge"/>
              <c:yMode val="edge"/>
              <c:x val="1.9572963347427232E-2"/>
              <c:y val="0.39084507042253519"/>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l-PL"/>
          </a:p>
        </c:txPr>
        <c:crossAx val="3909799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l-PL"/>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hyperlink" Target="http://www.djaerotech.com/" TargetMode="External"/><Relationship Id="rId13" Type="http://schemas.openxmlformats.org/officeDocument/2006/relationships/image" Target="../media/image8.png"/><Relationship Id="rId18" Type="http://schemas.openxmlformats.org/officeDocument/2006/relationships/hyperlink" Target="http://www.profili2.com/eng/default.htm" TargetMode="External"/><Relationship Id="rId3" Type="http://schemas.openxmlformats.org/officeDocument/2006/relationships/hyperlink" Target="http://www.rcsoaringdigest.com/" TargetMode="External"/><Relationship Id="rId21" Type="http://schemas.openxmlformats.org/officeDocument/2006/relationships/image" Target="../media/image12.png"/><Relationship Id="rId7" Type="http://schemas.openxmlformats.org/officeDocument/2006/relationships/image" Target="../media/image5.png"/><Relationship Id="rId12" Type="http://schemas.openxmlformats.org/officeDocument/2006/relationships/hyperlink" Target="http://www.silentflight.org/" TargetMode="External"/><Relationship Id="rId17" Type="http://schemas.openxmlformats.org/officeDocument/2006/relationships/image" Target="../media/image10.png"/><Relationship Id="rId2" Type="http://schemas.openxmlformats.org/officeDocument/2006/relationships/image" Target="../media/image2.png"/><Relationship Id="rId16" Type="http://schemas.openxmlformats.org/officeDocument/2006/relationships/hyperlink" Target="http://www.b2streamlines.com/OTW.html" TargetMode="External"/><Relationship Id="rId20" Type="http://schemas.openxmlformats.org/officeDocument/2006/relationships/hyperlink" Target="http://web.mit.edu/drela/Public/web/xfoil/" TargetMode="External"/><Relationship Id="rId1" Type="http://schemas.openxmlformats.org/officeDocument/2006/relationships/hyperlink" Target="http://www.b2streamlines.com/" TargetMode="External"/><Relationship Id="rId6" Type="http://schemas.openxmlformats.org/officeDocument/2006/relationships/image" Target="../media/image4.png"/><Relationship Id="rId11" Type="http://schemas.openxmlformats.org/officeDocument/2006/relationships/image" Target="../media/image7.png"/><Relationship Id="rId5" Type="http://schemas.openxmlformats.org/officeDocument/2006/relationships/hyperlink" Target="http://www.rcgroups.com/forums/index.php" TargetMode="External"/><Relationship Id="rId15" Type="http://schemas.openxmlformats.org/officeDocument/2006/relationships/image" Target="../media/image9.png"/><Relationship Id="rId10" Type="http://schemas.openxmlformats.org/officeDocument/2006/relationships/hyperlink" Target="http://www.charlesriverrc.org/" TargetMode="External"/><Relationship Id="rId19" Type="http://schemas.openxmlformats.org/officeDocument/2006/relationships/image" Target="../media/image11.jpeg"/><Relationship Id="rId4" Type="http://schemas.openxmlformats.org/officeDocument/2006/relationships/image" Target="../media/image3.png"/><Relationship Id="rId9" Type="http://schemas.openxmlformats.org/officeDocument/2006/relationships/image" Target="../media/image6.jpeg"/><Relationship Id="rId14" Type="http://schemas.openxmlformats.org/officeDocument/2006/relationships/hyperlink" Target="http://www.modelaircraft.org/"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2171701</xdr:colOff>
      <xdr:row>2</xdr:row>
      <xdr:rowOff>142875</xdr:rowOff>
    </xdr:from>
    <xdr:to>
      <xdr:col>0</xdr:col>
      <xdr:colOff>6400801</xdr:colOff>
      <xdr:row>5</xdr:row>
      <xdr:rowOff>168274</xdr:rowOff>
    </xdr:to>
    <xdr:sp macro="" textlink="">
      <xdr:nvSpPr>
        <xdr:cNvPr id="4" name="WordArt 23"/>
        <xdr:cNvSpPr>
          <a:spLocks noChangeArrowheads="1" noChangeShapeType="1" noTextEdit="1"/>
        </xdr:cNvSpPr>
      </xdr:nvSpPr>
      <xdr:spPr bwMode="auto">
        <a:xfrm>
          <a:off x="2171701" y="466725"/>
          <a:ext cx="4229100" cy="682624"/>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Instructions</a:t>
          </a:r>
        </a:p>
      </xdr:txBody>
    </xdr:sp>
    <xdr:clientData/>
  </xdr:twoCellAnchor>
  <xdr:twoCellAnchor editAs="oneCell">
    <xdr:from>
      <xdr:col>0</xdr:col>
      <xdr:colOff>314325</xdr:colOff>
      <xdr:row>1</xdr:row>
      <xdr:rowOff>0</xdr:rowOff>
    </xdr:from>
    <xdr:to>
      <xdr:col>0</xdr:col>
      <xdr:colOff>904875</xdr:colOff>
      <xdr:row>2</xdr:row>
      <xdr:rowOff>133350</xdr:rowOff>
    </xdr:to>
    <xdr:pic>
      <xdr:nvPicPr>
        <xdr:cNvPr id="14729" name="Picture 2" descr="PaypalDonate.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61925"/>
          <a:ext cx="590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1924050</xdr:colOff>
      <xdr:row>1</xdr:row>
      <xdr:rowOff>228600</xdr:rowOff>
    </xdr:from>
    <xdr:to>
      <xdr:col>0</xdr:col>
      <xdr:colOff>4476750</xdr:colOff>
      <xdr:row>5</xdr:row>
      <xdr:rowOff>85725</xdr:rowOff>
    </xdr:to>
    <xdr:sp macro="" textlink="">
      <xdr:nvSpPr>
        <xdr:cNvPr id="13313" name="WordArt 1"/>
        <xdr:cNvSpPr>
          <a:spLocks noChangeArrowheads="1" noChangeShapeType="1" noTextEdit="1"/>
        </xdr:cNvSpPr>
      </xdr:nvSpPr>
      <xdr:spPr bwMode="auto">
        <a:xfrm>
          <a:off x="1914525" y="876300"/>
          <a:ext cx="2552700" cy="590550"/>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Credits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6</xdr:row>
      <xdr:rowOff>57150</xdr:rowOff>
    </xdr:from>
    <xdr:to>
      <xdr:col>4</xdr:col>
      <xdr:colOff>581025</xdr:colOff>
      <xdr:row>14</xdr:row>
      <xdr:rowOff>28575</xdr:rowOff>
    </xdr:to>
    <xdr:pic>
      <xdr:nvPicPr>
        <xdr:cNvPr id="970457" name="Picture 1" descr="B2Streamline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990600"/>
          <a:ext cx="27527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390525</xdr:colOff>
      <xdr:row>7</xdr:row>
      <xdr:rowOff>19050</xdr:rowOff>
    </xdr:from>
    <xdr:to>
      <xdr:col>9</xdr:col>
      <xdr:colOff>466725</xdr:colOff>
      <xdr:row>11</xdr:row>
      <xdr:rowOff>0</xdr:rowOff>
    </xdr:to>
    <xdr:pic>
      <xdr:nvPicPr>
        <xdr:cNvPr id="970458" name="Picture 6" descr="RC Soaring Digest">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00425" y="1104900"/>
          <a:ext cx="2828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17</xdr:row>
      <xdr:rowOff>19050</xdr:rowOff>
    </xdr:from>
    <xdr:to>
      <xdr:col>5</xdr:col>
      <xdr:colOff>295275</xdr:colOff>
      <xdr:row>22</xdr:row>
      <xdr:rowOff>19050</xdr:rowOff>
    </xdr:to>
    <xdr:grpSp>
      <xdr:nvGrpSpPr>
        <xdr:cNvPr id="970459" name="Group 11"/>
        <xdr:cNvGrpSpPr>
          <a:grpSpLocks/>
        </xdr:cNvGrpSpPr>
      </xdr:nvGrpSpPr>
      <xdr:grpSpPr bwMode="auto">
        <a:xfrm>
          <a:off x="400050" y="2952750"/>
          <a:ext cx="2905125" cy="857250"/>
          <a:chOff x="561" y="256"/>
          <a:chExt cx="305" cy="82"/>
        </a:xfrm>
      </xdr:grpSpPr>
      <xdr:pic>
        <xdr:nvPicPr>
          <xdr:cNvPr id="970468" name="Picture 8" descr="R/C Groups.com">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 y="256"/>
            <a:ext cx="305" cy="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70469" name="Picture 9" descr="The ABCs of radio Control - Aircraft, Boats, and Cars">
            <a:hlinkClick xmlns:r="http://schemas.openxmlformats.org/officeDocument/2006/relationships" r:id="rId5"/>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61" y="318"/>
            <a:ext cx="30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514350</xdr:colOff>
      <xdr:row>12</xdr:row>
      <xdr:rowOff>133350</xdr:rowOff>
    </xdr:from>
    <xdr:to>
      <xdr:col>9</xdr:col>
      <xdr:colOff>142875</xdr:colOff>
      <xdr:row>16</xdr:row>
      <xdr:rowOff>57150</xdr:rowOff>
    </xdr:to>
    <xdr:pic>
      <xdr:nvPicPr>
        <xdr:cNvPr id="970460" name="Picture 10" descr="mainlogo">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24250" y="1981200"/>
          <a:ext cx="2381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514350</xdr:colOff>
      <xdr:row>18</xdr:row>
      <xdr:rowOff>66675</xdr:rowOff>
    </xdr:from>
    <xdr:to>
      <xdr:col>8</xdr:col>
      <xdr:colOff>657225</xdr:colOff>
      <xdr:row>28</xdr:row>
      <xdr:rowOff>28575</xdr:rowOff>
    </xdr:to>
    <xdr:pic>
      <xdr:nvPicPr>
        <xdr:cNvPr id="970461" name="Picture 12" descr="crrc_logo.gif (4254 bytes)">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10050" y="2828925"/>
          <a:ext cx="15240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189497</xdr:colOff>
      <xdr:row>1</xdr:row>
      <xdr:rowOff>78207</xdr:rowOff>
    </xdr:from>
    <xdr:to>
      <xdr:col>9</xdr:col>
      <xdr:colOff>438150</xdr:colOff>
      <xdr:row>4</xdr:row>
      <xdr:rowOff>0</xdr:rowOff>
    </xdr:to>
    <xdr:sp macro="" textlink="">
      <xdr:nvSpPr>
        <xdr:cNvPr id="9" name="WordArt 1"/>
        <xdr:cNvSpPr>
          <a:spLocks noChangeArrowheads="1" noChangeShapeType="1" noTextEdit="1"/>
        </xdr:cNvSpPr>
      </xdr:nvSpPr>
      <xdr:spPr bwMode="auto">
        <a:xfrm>
          <a:off x="3199397" y="230607"/>
          <a:ext cx="3001378" cy="378993"/>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Please Visit</a:t>
          </a:r>
        </a:p>
      </xdr:txBody>
    </xdr:sp>
    <xdr:clientData/>
  </xdr:twoCellAnchor>
  <xdr:twoCellAnchor editAs="oneCell">
    <xdr:from>
      <xdr:col>9</xdr:col>
      <xdr:colOff>609600</xdr:colOff>
      <xdr:row>20</xdr:row>
      <xdr:rowOff>38100</xdr:rowOff>
    </xdr:from>
    <xdr:to>
      <xdr:col>13</xdr:col>
      <xdr:colOff>133350</xdr:colOff>
      <xdr:row>26</xdr:row>
      <xdr:rowOff>19050</xdr:rowOff>
    </xdr:to>
    <xdr:pic>
      <xdr:nvPicPr>
        <xdr:cNvPr id="970463" name="Picture 38" descr="Click to Bookmark">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372225" y="3105150"/>
          <a:ext cx="22669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581025</xdr:colOff>
      <xdr:row>29</xdr:row>
      <xdr:rowOff>85725</xdr:rowOff>
    </xdr:from>
    <xdr:to>
      <xdr:col>13</xdr:col>
      <xdr:colOff>542925</xdr:colOff>
      <xdr:row>33</xdr:row>
      <xdr:rowOff>104775</xdr:rowOff>
    </xdr:to>
    <xdr:pic>
      <xdr:nvPicPr>
        <xdr:cNvPr id="970464" name="Picture 39" descr="AMA - Bringing Modelers Together">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972050" y="4695825"/>
          <a:ext cx="40767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590550</xdr:colOff>
      <xdr:row>7</xdr:row>
      <xdr:rowOff>104775</xdr:rowOff>
    </xdr:from>
    <xdr:to>
      <xdr:col>13</xdr:col>
      <xdr:colOff>742950</xdr:colOff>
      <xdr:row>16</xdr:row>
      <xdr:rowOff>28575</xdr:rowOff>
    </xdr:to>
    <xdr:pic>
      <xdr:nvPicPr>
        <xdr:cNvPr id="970465" name="Picture 114" descr="On the 'Wing...">
          <a:hlinkClick xmlns:r="http://schemas.openxmlformats.org/officeDocument/2006/relationships" r:id="rId16"/>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353175" y="1190625"/>
          <a:ext cx="28956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33</xdr:row>
      <xdr:rowOff>85725</xdr:rowOff>
    </xdr:from>
    <xdr:to>
      <xdr:col>5</xdr:col>
      <xdr:colOff>266700</xdr:colOff>
      <xdr:row>35</xdr:row>
      <xdr:rowOff>352425</xdr:rowOff>
    </xdr:to>
    <xdr:pic>
      <xdr:nvPicPr>
        <xdr:cNvPr id="970466" name="Picture 203" descr="titolo3">
          <a:hlinkClick xmlns:r="http://schemas.openxmlformats.org/officeDocument/2006/relationships" r:id="rId18"/>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09650" y="5391150"/>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228600</xdr:colOff>
      <xdr:row>35</xdr:row>
      <xdr:rowOff>104775</xdr:rowOff>
    </xdr:from>
    <xdr:to>
      <xdr:col>12</xdr:col>
      <xdr:colOff>504825</xdr:colOff>
      <xdr:row>38</xdr:row>
      <xdr:rowOff>9525</xdr:rowOff>
    </xdr:to>
    <xdr:pic>
      <xdr:nvPicPr>
        <xdr:cNvPr id="970467" name="Picture 216" descr="xfoil_logo">
          <a:hlinkClick xmlns:r="http://schemas.openxmlformats.org/officeDocument/2006/relationships" r:id="rId20"/>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305425" y="5724525"/>
          <a:ext cx="3019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733425</xdr:colOff>
      <xdr:row>19</xdr:row>
      <xdr:rowOff>19050</xdr:rowOff>
    </xdr:from>
    <xdr:to>
      <xdr:col>12</xdr:col>
      <xdr:colOff>666750</xdr:colOff>
      <xdr:row>38</xdr:row>
      <xdr:rowOff>161925</xdr:rowOff>
    </xdr:to>
    <xdr:graphicFrame macro="">
      <xdr:nvGraphicFramePr>
        <xdr:cNvPr id="11921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xdr:row>
      <xdr:rowOff>66675</xdr:rowOff>
    </xdr:from>
    <xdr:to>
      <xdr:col>1</xdr:col>
      <xdr:colOff>9525</xdr:colOff>
      <xdr:row>30</xdr:row>
      <xdr:rowOff>209550</xdr:rowOff>
    </xdr:to>
    <xdr:sp macro="" textlink="">
      <xdr:nvSpPr>
        <xdr:cNvPr id="1192118" name="Oval 3"/>
        <xdr:cNvSpPr>
          <a:spLocks noChangeArrowheads="1"/>
        </xdr:cNvSpPr>
      </xdr:nvSpPr>
      <xdr:spPr bwMode="auto">
        <a:xfrm>
          <a:off x="409575" y="552450"/>
          <a:ext cx="123825" cy="5029200"/>
        </a:xfrm>
        <a:prstGeom prst="ellipse">
          <a:avLst/>
        </a:prstGeom>
        <a:solidFill>
          <a:srgbClr val="FFFFFF"/>
        </a:solidFill>
        <a:ln w="9525">
          <a:solidFill>
            <a:srgbClr val="000000"/>
          </a:solidFill>
          <a:round/>
          <a:headEnd/>
          <a:tailEnd/>
        </a:ln>
      </xdr:spPr>
    </xdr:sp>
    <xdr:clientData/>
  </xdr:twoCellAnchor>
  <xdr:twoCellAnchor>
    <xdr:from>
      <xdr:col>0</xdr:col>
      <xdr:colOff>514350</xdr:colOff>
      <xdr:row>26</xdr:row>
      <xdr:rowOff>47625</xdr:rowOff>
    </xdr:from>
    <xdr:to>
      <xdr:col>2</xdr:col>
      <xdr:colOff>466725</xdr:colOff>
      <xdr:row>28</xdr:row>
      <xdr:rowOff>66675</xdr:rowOff>
    </xdr:to>
    <xdr:sp macro="" textlink="">
      <xdr:nvSpPr>
        <xdr:cNvPr id="1192119" name="Line 4"/>
        <xdr:cNvSpPr>
          <a:spLocks noChangeShapeType="1"/>
        </xdr:cNvSpPr>
      </xdr:nvSpPr>
      <xdr:spPr bwMode="auto">
        <a:xfrm flipH="1" flipV="1">
          <a:off x="514350" y="4819650"/>
          <a:ext cx="20097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28</xdr:row>
      <xdr:rowOff>66675</xdr:rowOff>
    </xdr:from>
    <xdr:to>
      <xdr:col>2</xdr:col>
      <xdr:colOff>485775</xdr:colOff>
      <xdr:row>30</xdr:row>
      <xdr:rowOff>104775</xdr:rowOff>
    </xdr:to>
    <xdr:sp macro="" textlink="">
      <xdr:nvSpPr>
        <xdr:cNvPr id="1192120" name="Line 5"/>
        <xdr:cNvSpPr>
          <a:spLocks noChangeShapeType="1"/>
        </xdr:cNvSpPr>
      </xdr:nvSpPr>
      <xdr:spPr bwMode="auto">
        <a:xfrm flipV="1">
          <a:off x="2543175" y="51625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30</xdr:row>
      <xdr:rowOff>47625</xdr:rowOff>
    </xdr:from>
    <xdr:to>
      <xdr:col>2</xdr:col>
      <xdr:colOff>466725</xdr:colOff>
      <xdr:row>30</xdr:row>
      <xdr:rowOff>114300</xdr:rowOff>
    </xdr:to>
    <xdr:sp macro="" textlink="">
      <xdr:nvSpPr>
        <xdr:cNvPr id="1192121" name="Line 6"/>
        <xdr:cNvSpPr>
          <a:spLocks noChangeShapeType="1"/>
        </xdr:cNvSpPr>
      </xdr:nvSpPr>
      <xdr:spPr bwMode="auto">
        <a:xfrm>
          <a:off x="704850" y="5467350"/>
          <a:ext cx="1819275"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0</xdr:rowOff>
    </xdr:from>
    <xdr:to>
      <xdr:col>1</xdr:col>
      <xdr:colOff>190500</xdr:colOff>
      <xdr:row>30</xdr:row>
      <xdr:rowOff>57150</xdr:rowOff>
    </xdr:to>
    <xdr:sp macro="" textlink="">
      <xdr:nvSpPr>
        <xdr:cNvPr id="1192122" name="Line 7"/>
        <xdr:cNvSpPr>
          <a:spLocks noChangeShapeType="1"/>
        </xdr:cNvSpPr>
      </xdr:nvSpPr>
      <xdr:spPr bwMode="auto">
        <a:xfrm>
          <a:off x="523875" y="5257800"/>
          <a:ext cx="19050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10</xdr:row>
      <xdr:rowOff>114300</xdr:rowOff>
    </xdr:from>
    <xdr:to>
      <xdr:col>3</xdr:col>
      <xdr:colOff>1009650</xdr:colOff>
      <xdr:row>11</xdr:row>
      <xdr:rowOff>57150</xdr:rowOff>
    </xdr:to>
    <xdr:sp macro="" textlink="">
      <xdr:nvSpPr>
        <xdr:cNvPr id="1192123" name="Line 8"/>
        <xdr:cNvSpPr>
          <a:spLocks noChangeShapeType="1"/>
        </xdr:cNvSpPr>
      </xdr:nvSpPr>
      <xdr:spPr bwMode="auto">
        <a:xfrm flipH="1" flipV="1">
          <a:off x="533400" y="1733550"/>
          <a:ext cx="3286125" cy="104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r>
            <a:rPr lang="pl-PL"/>
            <a:t>0</a:t>
          </a:r>
        </a:p>
      </xdr:txBody>
    </xdr:sp>
    <xdr:clientData/>
  </xdr:twoCellAnchor>
  <xdr:twoCellAnchor>
    <xdr:from>
      <xdr:col>4</xdr:col>
      <xdr:colOff>0</xdr:colOff>
      <xdr:row>11</xdr:row>
      <xdr:rowOff>47625</xdr:rowOff>
    </xdr:from>
    <xdr:to>
      <xdr:col>4</xdr:col>
      <xdr:colOff>0</xdr:colOff>
      <xdr:row>15</xdr:row>
      <xdr:rowOff>0</xdr:rowOff>
    </xdr:to>
    <xdr:sp macro="" textlink="">
      <xdr:nvSpPr>
        <xdr:cNvPr id="1192124" name="Line 9"/>
        <xdr:cNvSpPr>
          <a:spLocks noChangeShapeType="1"/>
        </xdr:cNvSpPr>
      </xdr:nvSpPr>
      <xdr:spPr bwMode="auto">
        <a:xfrm flipV="1">
          <a:off x="3819525" y="1828800"/>
          <a:ext cx="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11</xdr:row>
      <xdr:rowOff>123825</xdr:rowOff>
    </xdr:from>
    <xdr:to>
      <xdr:col>7</xdr:col>
      <xdr:colOff>28575</xdr:colOff>
      <xdr:row>14</xdr:row>
      <xdr:rowOff>152400</xdr:rowOff>
    </xdr:to>
    <xdr:sp macro="" textlink="">
      <xdr:nvSpPr>
        <xdr:cNvPr id="1192125" name="Line 10"/>
        <xdr:cNvSpPr>
          <a:spLocks noChangeShapeType="1"/>
        </xdr:cNvSpPr>
      </xdr:nvSpPr>
      <xdr:spPr bwMode="auto">
        <a:xfrm flipV="1">
          <a:off x="6286500" y="190500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11</xdr:row>
      <xdr:rowOff>38100</xdr:rowOff>
    </xdr:from>
    <xdr:to>
      <xdr:col>7</xdr:col>
      <xdr:colOff>66675</xdr:colOff>
      <xdr:row>11</xdr:row>
      <xdr:rowOff>104775</xdr:rowOff>
    </xdr:to>
    <xdr:sp macro="" textlink="">
      <xdr:nvSpPr>
        <xdr:cNvPr id="1192126" name="Line 15"/>
        <xdr:cNvSpPr>
          <a:spLocks noChangeShapeType="1"/>
        </xdr:cNvSpPr>
      </xdr:nvSpPr>
      <xdr:spPr bwMode="auto">
        <a:xfrm>
          <a:off x="3838575" y="1819275"/>
          <a:ext cx="2486025"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1323975</xdr:colOff>
      <xdr:row>12</xdr:row>
      <xdr:rowOff>85725</xdr:rowOff>
    </xdr:from>
    <xdr:to>
      <xdr:col>9</xdr:col>
      <xdr:colOff>1323975</xdr:colOff>
      <xdr:row>15</xdr:row>
      <xdr:rowOff>0</xdr:rowOff>
    </xdr:to>
    <xdr:sp macro="" textlink="">
      <xdr:nvSpPr>
        <xdr:cNvPr id="1192127" name="Line 72"/>
        <xdr:cNvSpPr>
          <a:spLocks noChangeShapeType="1"/>
        </xdr:cNvSpPr>
      </xdr:nvSpPr>
      <xdr:spPr bwMode="auto">
        <a:xfrm>
          <a:off x="9324975" y="2028825"/>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1171575</xdr:colOff>
      <xdr:row>12</xdr:row>
      <xdr:rowOff>0</xdr:rowOff>
    </xdr:from>
    <xdr:to>
      <xdr:col>10</xdr:col>
      <xdr:colOff>19050</xdr:colOff>
      <xdr:row>12</xdr:row>
      <xdr:rowOff>95250</xdr:rowOff>
    </xdr:to>
    <xdr:sp macro="" textlink="">
      <xdr:nvSpPr>
        <xdr:cNvPr id="1192128" name="Line 74"/>
        <xdr:cNvSpPr>
          <a:spLocks noChangeShapeType="1"/>
        </xdr:cNvSpPr>
      </xdr:nvSpPr>
      <xdr:spPr bwMode="auto">
        <a:xfrm>
          <a:off x="8343900" y="1943100"/>
          <a:ext cx="1000125"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38100</xdr:rowOff>
    </xdr:from>
    <xdr:to>
      <xdr:col>9</xdr:col>
      <xdr:colOff>0</xdr:colOff>
      <xdr:row>15</xdr:row>
      <xdr:rowOff>0</xdr:rowOff>
    </xdr:to>
    <xdr:sp macro="" textlink="">
      <xdr:nvSpPr>
        <xdr:cNvPr id="1192129" name="Line 77"/>
        <xdr:cNvSpPr>
          <a:spLocks noChangeShapeType="1"/>
        </xdr:cNvSpPr>
      </xdr:nvSpPr>
      <xdr:spPr bwMode="auto">
        <a:xfrm>
          <a:off x="8362950" y="1981200"/>
          <a:ext cx="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xdr:colOff>
      <xdr:row>11</xdr:row>
      <xdr:rowOff>95250</xdr:rowOff>
    </xdr:from>
    <xdr:to>
      <xdr:col>8</xdr:col>
      <xdr:colOff>1171575</xdr:colOff>
      <xdr:row>11</xdr:row>
      <xdr:rowOff>152400</xdr:rowOff>
    </xdr:to>
    <xdr:sp macro="" textlink="">
      <xdr:nvSpPr>
        <xdr:cNvPr id="1192130" name="Line 78"/>
        <xdr:cNvSpPr>
          <a:spLocks noChangeShapeType="1"/>
        </xdr:cNvSpPr>
      </xdr:nvSpPr>
      <xdr:spPr bwMode="auto">
        <a:xfrm flipH="1" flipV="1">
          <a:off x="6305550" y="1876425"/>
          <a:ext cx="203835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393700</xdr:colOff>
      <xdr:row>1</xdr:row>
      <xdr:rowOff>12701</xdr:rowOff>
    </xdr:from>
    <xdr:to>
      <xdr:col>7</xdr:col>
      <xdr:colOff>28575</xdr:colOff>
      <xdr:row>5</xdr:row>
      <xdr:rowOff>47625</xdr:rowOff>
    </xdr:to>
    <xdr:sp macro="" textlink="">
      <xdr:nvSpPr>
        <xdr:cNvPr id="18" name="WordArt 23"/>
        <xdr:cNvSpPr>
          <a:spLocks noChangeArrowheads="1" noChangeShapeType="1" noTextEdit="1"/>
        </xdr:cNvSpPr>
      </xdr:nvSpPr>
      <xdr:spPr bwMode="auto">
        <a:xfrm>
          <a:off x="3203575" y="174626"/>
          <a:ext cx="3082925" cy="682624"/>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Wing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142875</xdr:colOff>
      <xdr:row>5</xdr:row>
      <xdr:rowOff>133350</xdr:rowOff>
    </xdr:from>
    <xdr:to>
      <xdr:col>10</xdr:col>
      <xdr:colOff>742950</xdr:colOff>
      <xdr:row>19</xdr:row>
      <xdr:rowOff>123825</xdr:rowOff>
    </xdr:to>
    <xdr:graphicFrame macro="">
      <xdr:nvGraphicFramePr>
        <xdr:cNvPr id="8596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133350</xdr:rowOff>
    </xdr:from>
    <xdr:to>
      <xdr:col>4</xdr:col>
      <xdr:colOff>0</xdr:colOff>
      <xdr:row>15</xdr:row>
      <xdr:rowOff>0</xdr:rowOff>
    </xdr:to>
    <xdr:sp macro="" textlink="">
      <xdr:nvSpPr>
        <xdr:cNvPr id="859669" name="Line 3"/>
        <xdr:cNvSpPr>
          <a:spLocks noChangeShapeType="1"/>
        </xdr:cNvSpPr>
      </xdr:nvSpPr>
      <xdr:spPr bwMode="auto">
        <a:xfrm flipV="1">
          <a:off x="3114675" y="1962150"/>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xdr:row>
      <xdr:rowOff>0</xdr:rowOff>
    </xdr:from>
    <xdr:to>
      <xdr:col>4</xdr:col>
      <xdr:colOff>0</xdr:colOff>
      <xdr:row>11</xdr:row>
      <xdr:rowOff>142875</xdr:rowOff>
    </xdr:to>
    <xdr:sp macro="" textlink="">
      <xdr:nvSpPr>
        <xdr:cNvPr id="859670" name="Line 4"/>
        <xdr:cNvSpPr>
          <a:spLocks noChangeShapeType="1"/>
        </xdr:cNvSpPr>
      </xdr:nvSpPr>
      <xdr:spPr bwMode="auto">
        <a:xfrm flipH="1" flipV="1">
          <a:off x="266700" y="1666875"/>
          <a:ext cx="28479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190500</xdr:colOff>
      <xdr:row>6</xdr:row>
      <xdr:rowOff>123825</xdr:rowOff>
    </xdr:from>
    <xdr:to>
      <xdr:col>1</xdr:col>
      <xdr:colOff>9525</xdr:colOff>
      <xdr:row>17</xdr:row>
      <xdr:rowOff>152400</xdr:rowOff>
    </xdr:to>
    <xdr:grpSp>
      <xdr:nvGrpSpPr>
        <xdr:cNvPr id="859671" name="Group 22"/>
        <xdr:cNvGrpSpPr>
          <a:grpSpLocks/>
        </xdr:cNvGrpSpPr>
      </xdr:nvGrpSpPr>
      <xdr:grpSpPr bwMode="auto">
        <a:xfrm>
          <a:off x="190500" y="1095375"/>
          <a:ext cx="85725" cy="1857375"/>
          <a:chOff x="37" y="34"/>
          <a:chExt cx="17" cy="209"/>
        </a:xfrm>
      </xdr:grpSpPr>
      <xdr:sp macro="" textlink="">
        <xdr:nvSpPr>
          <xdr:cNvPr id="859673" name="Arc 18"/>
          <xdr:cNvSpPr>
            <a:spLocks/>
          </xdr:cNvSpPr>
        </xdr:nvSpPr>
        <xdr:spPr bwMode="auto">
          <a:xfrm flipH="1" flipV="1">
            <a:off x="37" y="34"/>
            <a:ext cx="8" cy="20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9674" name="Arc 19"/>
          <xdr:cNvSpPr>
            <a:spLocks/>
          </xdr:cNvSpPr>
        </xdr:nvSpPr>
        <xdr:spPr bwMode="auto">
          <a:xfrm flipV="1">
            <a:off x="45" y="34"/>
            <a:ext cx="9" cy="20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104774</xdr:colOff>
      <xdr:row>0</xdr:row>
      <xdr:rowOff>95250</xdr:rowOff>
    </xdr:from>
    <xdr:to>
      <xdr:col>9</xdr:col>
      <xdr:colOff>238125</xdr:colOff>
      <xdr:row>3</xdr:row>
      <xdr:rowOff>142875</xdr:rowOff>
    </xdr:to>
    <xdr:sp macro="" textlink="">
      <xdr:nvSpPr>
        <xdr:cNvPr id="2071" name="WordArt 23"/>
        <xdr:cNvSpPr>
          <a:spLocks noChangeArrowheads="1" noChangeShapeType="1" noTextEdit="1"/>
        </xdr:cNvSpPr>
      </xdr:nvSpPr>
      <xdr:spPr bwMode="auto">
        <a:xfrm>
          <a:off x="1981199" y="95250"/>
          <a:ext cx="5048251" cy="533400"/>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Horizontal Stabilizer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xdr:row>
      <xdr:rowOff>28575</xdr:rowOff>
    </xdr:from>
    <xdr:to>
      <xdr:col>8</xdr:col>
      <xdr:colOff>95250</xdr:colOff>
      <xdr:row>4</xdr:row>
      <xdr:rowOff>19050</xdr:rowOff>
    </xdr:to>
    <xdr:sp macro="" textlink="">
      <xdr:nvSpPr>
        <xdr:cNvPr id="24577" name="WordArt 1"/>
        <xdr:cNvSpPr>
          <a:spLocks noChangeArrowheads="1" noChangeShapeType="1" noTextEdit="1"/>
        </xdr:cNvSpPr>
      </xdr:nvSpPr>
      <xdr:spPr bwMode="auto">
        <a:xfrm>
          <a:off x="1162050" y="180975"/>
          <a:ext cx="5048250" cy="447675"/>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Vertical Stabilizer</a:t>
          </a:r>
        </a:p>
      </xdr:txBody>
    </xdr:sp>
    <xdr:clientData/>
  </xdr:twoCellAnchor>
  <xdr:twoCellAnchor>
    <xdr:from>
      <xdr:col>1</xdr:col>
      <xdr:colOff>762000</xdr:colOff>
      <xdr:row>10</xdr:row>
      <xdr:rowOff>19050</xdr:rowOff>
    </xdr:from>
    <xdr:to>
      <xdr:col>3</xdr:col>
      <xdr:colOff>85725</xdr:colOff>
      <xdr:row>10</xdr:row>
      <xdr:rowOff>19050</xdr:rowOff>
    </xdr:to>
    <xdr:sp macro="" textlink="">
      <xdr:nvSpPr>
        <xdr:cNvPr id="861869" name="Line 17"/>
        <xdr:cNvSpPr>
          <a:spLocks noChangeShapeType="1"/>
        </xdr:cNvSpPr>
      </xdr:nvSpPr>
      <xdr:spPr bwMode="auto">
        <a:xfrm>
          <a:off x="1038225" y="1600200"/>
          <a:ext cx="1343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10</xdr:row>
      <xdr:rowOff>38100</xdr:rowOff>
    </xdr:from>
    <xdr:to>
      <xdr:col>3</xdr:col>
      <xdr:colOff>285750</xdr:colOff>
      <xdr:row>15</xdr:row>
      <xdr:rowOff>152400</xdr:rowOff>
    </xdr:to>
    <xdr:sp macro="" textlink="">
      <xdr:nvSpPr>
        <xdr:cNvPr id="861870" name="Line 18"/>
        <xdr:cNvSpPr>
          <a:spLocks noChangeShapeType="1"/>
        </xdr:cNvSpPr>
      </xdr:nvSpPr>
      <xdr:spPr bwMode="auto">
        <a:xfrm>
          <a:off x="2381250" y="1619250"/>
          <a:ext cx="20002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152400</xdr:rowOff>
    </xdr:from>
    <xdr:to>
      <xdr:col>3</xdr:col>
      <xdr:colOff>285750</xdr:colOff>
      <xdr:row>21</xdr:row>
      <xdr:rowOff>180975</xdr:rowOff>
    </xdr:to>
    <xdr:sp macro="" textlink="">
      <xdr:nvSpPr>
        <xdr:cNvPr id="861871" name="Line 19"/>
        <xdr:cNvSpPr>
          <a:spLocks noChangeShapeType="1"/>
        </xdr:cNvSpPr>
      </xdr:nvSpPr>
      <xdr:spPr bwMode="auto">
        <a:xfrm flipH="1">
          <a:off x="2295525" y="2638425"/>
          <a:ext cx="285750" cy="1114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695325</xdr:colOff>
      <xdr:row>21</xdr:row>
      <xdr:rowOff>180975</xdr:rowOff>
    </xdr:from>
    <xdr:to>
      <xdr:col>3</xdr:col>
      <xdr:colOff>0</xdr:colOff>
      <xdr:row>21</xdr:row>
      <xdr:rowOff>180975</xdr:rowOff>
    </xdr:to>
    <xdr:sp macro="" textlink="">
      <xdr:nvSpPr>
        <xdr:cNvPr id="861872" name="Line 20"/>
        <xdr:cNvSpPr>
          <a:spLocks noChangeShapeType="1"/>
        </xdr:cNvSpPr>
      </xdr:nvSpPr>
      <xdr:spPr bwMode="auto">
        <a:xfrm flipH="1">
          <a:off x="971550" y="3752850"/>
          <a:ext cx="132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16</xdr:row>
      <xdr:rowOff>9525</xdr:rowOff>
    </xdr:from>
    <xdr:to>
      <xdr:col>1</xdr:col>
      <xdr:colOff>685800</xdr:colOff>
      <xdr:row>21</xdr:row>
      <xdr:rowOff>180975</xdr:rowOff>
    </xdr:to>
    <xdr:sp macro="" textlink="">
      <xdr:nvSpPr>
        <xdr:cNvPr id="861873" name="Line 21"/>
        <xdr:cNvSpPr>
          <a:spLocks noChangeShapeType="1"/>
        </xdr:cNvSpPr>
      </xdr:nvSpPr>
      <xdr:spPr bwMode="auto">
        <a:xfrm flipH="1" flipV="1">
          <a:off x="838200" y="2676525"/>
          <a:ext cx="123825" cy="1076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16</xdr:row>
      <xdr:rowOff>0</xdr:rowOff>
    </xdr:from>
    <xdr:to>
      <xdr:col>3</xdr:col>
      <xdr:colOff>304800</xdr:colOff>
      <xdr:row>16</xdr:row>
      <xdr:rowOff>0</xdr:rowOff>
    </xdr:to>
    <xdr:sp macro="" textlink="">
      <xdr:nvSpPr>
        <xdr:cNvPr id="861874" name="Line 22"/>
        <xdr:cNvSpPr>
          <a:spLocks noChangeShapeType="1"/>
        </xdr:cNvSpPr>
      </xdr:nvSpPr>
      <xdr:spPr bwMode="auto">
        <a:xfrm flipV="1">
          <a:off x="838200" y="2667000"/>
          <a:ext cx="176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571500</xdr:colOff>
      <xdr:row>10</xdr:row>
      <xdr:rowOff>38100</xdr:rowOff>
    </xdr:from>
    <xdr:to>
      <xdr:col>1</xdr:col>
      <xdr:colOff>762000</xdr:colOff>
      <xdr:row>16</xdr:row>
      <xdr:rowOff>9525</xdr:rowOff>
    </xdr:to>
    <xdr:sp macro="" textlink="">
      <xdr:nvSpPr>
        <xdr:cNvPr id="861875" name="Line 23"/>
        <xdr:cNvSpPr>
          <a:spLocks noChangeShapeType="1"/>
        </xdr:cNvSpPr>
      </xdr:nvSpPr>
      <xdr:spPr bwMode="auto">
        <a:xfrm flipV="1">
          <a:off x="847725" y="1619250"/>
          <a:ext cx="19050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6</xdr:row>
      <xdr:rowOff>66675</xdr:rowOff>
    </xdr:from>
    <xdr:to>
      <xdr:col>8</xdr:col>
      <xdr:colOff>123825</xdr:colOff>
      <xdr:row>26</xdr:row>
      <xdr:rowOff>123825</xdr:rowOff>
    </xdr:to>
    <xdr:graphicFrame macro="">
      <xdr:nvGraphicFramePr>
        <xdr:cNvPr id="86187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6</xdr:row>
      <xdr:rowOff>19050</xdr:rowOff>
    </xdr:from>
    <xdr:to>
      <xdr:col>8</xdr:col>
      <xdr:colOff>552450</xdr:colOff>
      <xdr:row>24</xdr:row>
      <xdr:rowOff>142875</xdr:rowOff>
    </xdr:to>
    <xdr:graphicFrame macro="">
      <xdr:nvGraphicFramePr>
        <xdr:cNvPr id="189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1630279</xdr:colOff>
      <xdr:row>1</xdr:row>
      <xdr:rowOff>94749</xdr:rowOff>
    </xdr:from>
    <xdr:to>
      <xdr:col>7</xdr:col>
      <xdr:colOff>568993</xdr:colOff>
      <xdr:row>4</xdr:row>
      <xdr:rowOff>148891</xdr:rowOff>
    </xdr:to>
    <xdr:sp macro="" textlink="">
      <xdr:nvSpPr>
        <xdr:cNvPr id="18483" name="WordArt 51"/>
        <xdr:cNvSpPr>
          <a:spLocks noChangeArrowheads="1" noChangeShapeType="1" noTextEdit="1"/>
        </xdr:cNvSpPr>
      </xdr:nvSpPr>
      <xdr:spPr bwMode="auto">
        <a:xfrm>
          <a:off x="1961147" y="255170"/>
          <a:ext cx="5325478" cy="535405"/>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Balance Point (CG)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762000</xdr:colOff>
      <xdr:row>12</xdr:row>
      <xdr:rowOff>38100</xdr:rowOff>
    </xdr:from>
    <xdr:to>
      <xdr:col>3</xdr:col>
      <xdr:colOff>895350</xdr:colOff>
      <xdr:row>13</xdr:row>
      <xdr:rowOff>142875</xdr:rowOff>
    </xdr:to>
    <xdr:sp macro="" textlink="">
      <xdr:nvSpPr>
        <xdr:cNvPr id="1196224" name="Line 1"/>
        <xdr:cNvSpPr>
          <a:spLocks noChangeShapeType="1"/>
        </xdr:cNvSpPr>
      </xdr:nvSpPr>
      <xdr:spPr bwMode="auto">
        <a:xfrm flipV="1">
          <a:off x="523875" y="1924050"/>
          <a:ext cx="26289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9525</xdr:rowOff>
    </xdr:from>
    <xdr:to>
      <xdr:col>6</xdr:col>
      <xdr:colOff>676275</xdr:colOff>
      <xdr:row>12</xdr:row>
      <xdr:rowOff>47625</xdr:rowOff>
    </xdr:to>
    <xdr:sp macro="" textlink="">
      <xdr:nvSpPr>
        <xdr:cNvPr id="1196225" name="Line 2"/>
        <xdr:cNvSpPr>
          <a:spLocks noChangeShapeType="1"/>
        </xdr:cNvSpPr>
      </xdr:nvSpPr>
      <xdr:spPr bwMode="auto">
        <a:xfrm flipV="1">
          <a:off x="3152775" y="1571625"/>
          <a:ext cx="18383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152400</xdr:rowOff>
    </xdr:from>
    <xdr:to>
      <xdr:col>8</xdr:col>
      <xdr:colOff>19050</xdr:colOff>
      <xdr:row>9</xdr:row>
      <xdr:rowOff>76200</xdr:rowOff>
    </xdr:to>
    <xdr:sp macro="" textlink="">
      <xdr:nvSpPr>
        <xdr:cNvPr id="1196226" name="Line 3"/>
        <xdr:cNvSpPr>
          <a:spLocks noChangeShapeType="1"/>
        </xdr:cNvSpPr>
      </xdr:nvSpPr>
      <xdr:spPr bwMode="auto">
        <a:xfrm flipV="1">
          <a:off x="5000625" y="1228725"/>
          <a:ext cx="70485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885825</xdr:colOff>
      <xdr:row>11</xdr:row>
      <xdr:rowOff>85725</xdr:rowOff>
    </xdr:from>
    <xdr:to>
      <xdr:col>3</xdr:col>
      <xdr:colOff>885825</xdr:colOff>
      <xdr:row>13</xdr:row>
      <xdr:rowOff>142875</xdr:rowOff>
    </xdr:to>
    <xdr:sp macro="" textlink="">
      <xdr:nvSpPr>
        <xdr:cNvPr id="1196227" name="Line 4"/>
        <xdr:cNvSpPr>
          <a:spLocks noChangeShapeType="1"/>
        </xdr:cNvSpPr>
      </xdr:nvSpPr>
      <xdr:spPr bwMode="auto">
        <a:xfrm>
          <a:off x="3152775" y="1809750"/>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9</xdr:row>
      <xdr:rowOff>152400</xdr:rowOff>
    </xdr:from>
    <xdr:to>
      <xdr:col>7</xdr:col>
      <xdr:colOff>0</xdr:colOff>
      <xdr:row>13</xdr:row>
      <xdr:rowOff>152400</xdr:rowOff>
    </xdr:to>
    <xdr:sp macro="" textlink="">
      <xdr:nvSpPr>
        <xdr:cNvPr id="1196228" name="Line 5"/>
        <xdr:cNvSpPr>
          <a:spLocks noChangeShapeType="1"/>
        </xdr:cNvSpPr>
      </xdr:nvSpPr>
      <xdr:spPr bwMode="auto">
        <a:xfrm>
          <a:off x="5000625" y="1552575"/>
          <a:ext cx="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76200</xdr:rowOff>
    </xdr:from>
    <xdr:to>
      <xdr:col>8</xdr:col>
      <xdr:colOff>0</xdr:colOff>
      <xdr:row>13</xdr:row>
      <xdr:rowOff>142875</xdr:rowOff>
    </xdr:to>
    <xdr:sp macro="" textlink="">
      <xdr:nvSpPr>
        <xdr:cNvPr id="1196229" name="Line 6"/>
        <xdr:cNvSpPr>
          <a:spLocks noChangeShapeType="1"/>
        </xdr:cNvSpPr>
      </xdr:nvSpPr>
      <xdr:spPr bwMode="auto">
        <a:xfrm>
          <a:off x="5686425" y="1314450"/>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733425</xdr:colOff>
      <xdr:row>11</xdr:row>
      <xdr:rowOff>85725</xdr:rowOff>
    </xdr:from>
    <xdr:to>
      <xdr:col>3</xdr:col>
      <xdr:colOff>885825</xdr:colOff>
      <xdr:row>13</xdr:row>
      <xdr:rowOff>9525</xdr:rowOff>
    </xdr:to>
    <xdr:sp macro="" textlink="">
      <xdr:nvSpPr>
        <xdr:cNvPr id="1196230" name="Line 7"/>
        <xdr:cNvSpPr>
          <a:spLocks noChangeShapeType="1"/>
        </xdr:cNvSpPr>
      </xdr:nvSpPr>
      <xdr:spPr bwMode="auto">
        <a:xfrm flipV="1">
          <a:off x="523875" y="1809750"/>
          <a:ext cx="262890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66675</xdr:rowOff>
    </xdr:from>
    <xdr:to>
      <xdr:col>7</xdr:col>
      <xdr:colOff>9525</xdr:colOff>
      <xdr:row>11</xdr:row>
      <xdr:rowOff>76200</xdr:rowOff>
    </xdr:to>
    <xdr:sp macro="" textlink="">
      <xdr:nvSpPr>
        <xdr:cNvPr id="1196231" name="Line 8"/>
        <xdr:cNvSpPr>
          <a:spLocks noChangeShapeType="1"/>
        </xdr:cNvSpPr>
      </xdr:nvSpPr>
      <xdr:spPr bwMode="auto">
        <a:xfrm flipV="1">
          <a:off x="3152775" y="1466850"/>
          <a:ext cx="18573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8</xdr:row>
      <xdr:rowOff>95250</xdr:rowOff>
    </xdr:from>
    <xdr:to>
      <xdr:col>8</xdr:col>
      <xdr:colOff>9525</xdr:colOff>
      <xdr:row>10</xdr:row>
      <xdr:rowOff>0</xdr:rowOff>
    </xdr:to>
    <xdr:sp macro="" textlink="">
      <xdr:nvSpPr>
        <xdr:cNvPr id="1196232" name="Line 9"/>
        <xdr:cNvSpPr>
          <a:spLocks noChangeShapeType="1"/>
        </xdr:cNvSpPr>
      </xdr:nvSpPr>
      <xdr:spPr bwMode="auto">
        <a:xfrm flipV="1">
          <a:off x="5010150" y="1333500"/>
          <a:ext cx="6858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xdr:row>
      <xdr:rowOff>142875</xdr:rowOff>
    </xdr:from>
    <xdr:to>
      <xdr:col>9</xdr:col>
      <xdr:colOff>9525</xdr:colOff>
      <xdr:row>13</xdr:row>
      <xdr:rowOff>152400</xdr:rowOff>
    </xdr:to>
    <xdr:sp macro="" textlink="">
      <xdr:nvSpPr>
        <xdr:cNvPr id="1196233" name="Line 10"/>
        <xdr:cNvSpPr>
          <a:spLocks noChangeShapeType="1"/>
        </xdr:cNvSpPr>
      </xdr:nvSpPr>
      <xdr:spPr bwMode="auto">
        <a:xfrm flipH="1" flipV="1">
          <a:off x="523875" y="2190750"/>
          <a:ext cx="58578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1</xdr:row>
      <xdr:rowOff>76200</xdr:rowOff>
    </xdr:from>
    <xdr:to>
      <xdr:col>7</xdr:col>
      <xdr:colOff>485775</xdr:colOff>
      <xdr:row>5</xdr:row>
      <xdr:rowOff>19050</xdr:rowOff>
    </xdr:to>
    <xdr:sp macro="" textlink="">
      <xdr:nvSpPr>
        <xdr:cNvPr id="23563" name="WordArt 11"/>
        <xdr:cNvSpPr>
          <a:spLocks noChangeArrowheads="1" noChangeShapeType="1" noTextEdit="1"/>
        </xdr:cNvSpPr>
      </xdr:nvSpPr>
      <xdr:spPr bwMode="auto">
        <a:xfrm>
          <a:off x="1333500" y="228600"/>
          <a:ext cx="3581400" cy="552450"/>
        </a:xfrm>
        <a:prstGeom prst="rect">
          <a:avLst/>
        </a:prstGeom>
      </xdr:spPr>
      <xdr:txBody>
        <a:bodyPr wrap="none" fromWordArt="1">
          <a:prstTxWarp prst="textPlain">
            <a:avLst>
              <a:gd name="adj" fmla="val 50000"/>
            </a:avLst>
          </a:prstTxWarp>
        </a:bodyPr>
        <a:lstStyle/>
        <a:p>
          <a:pPr algn="ctr" rtl="0"/>
          <a:r>
            <a:rPr lang="en-US" sz="9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Wing Dihedral</a:t>
          </a:r>
        </a:p>
      </xdr:txBody>
    </xdr:sp>
    <xdr:clientData/>
  </xdr:twoCellAnchor>
  <xdr:twoCellAnchor>
    <xdr:from>
      <xdr:col>1</xdr:col>
      <xdr:colOff>38100</xdr:colOff>
      <xdr:row>16</xdr:row>
      <xdr:rowOff>114300</xdr:rowOff>
    </xdr:from>
    <xdr:to>
      <xdr:col>9</xdr:col>
      <xdr:colOff>114300</xdr:colOff>
      <xdr:row>34</xdr:row>
      <xdr:rowOff>19050</xdr:rowOff>
    </xdr:to>
    <xdr:graphicFrame macro="">
      <xdr:nvGraphicFramePr>
        <xdr:cNvPr id="119623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13</xdr:row>
      <xdr:rowOff>0</xdr:rowOff>
    </xdr:from>
    <xdr:to>
      <xdr:col>0</xdr:col>
      <xdr:colOff>514350</xdr:colOff>
      <xdr:row>13</xdr:row>
      <xdr:rowOff>142875</xdr:rowOff>
    </xdr:to>
    <xdr:sp macro="" textlink="">
      <xdr:nvSpPr>
        <xdr:cNvPr id="1196236" name="Line 13"/>
        <xdr:cNvSpPr>
          <a:spLocks noChangeShapeType="1"/>
        </xdr:cNvSpPr>
      </xdr:nvSpPr>
      <xdr:spPr bwMode="auto">
        <a:xfrm>
          <a:off x="514350" y="20478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5</xdr:row>
      <xdr:rowOff>95250</xdr:rowOff>
    </xdr:from>
    <xdr:to>
      <xdr:col>8</xdr:col>
      <xdr:colOff>666750</xdr:colOff>
      <xdr:row>8</xdr:row>
      <xdr:rowOff>85725</xdr:rowOff>
    </xdr:to>
    <xdr:sp macro="" textlink="">
      <xdr:nvSpPr>
        <xdr:cNvPr id="1196237" name="Line 14"/>
        <xdr:cNvSpPr>
          <a:spLocks noChangeShapeType="1"/>
        </xdr:cNvSpPr>
      </xdr:nvSpPr>
      <xdr:spPr bwMode="auto">
        <a:xfrm flipV="1">
          <a:off x="5695950" y="857250"/>
          <a:ext cx="65722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5</xdr:row>
      <xdr:rowOff>85725</xdr:rowOff>
    </xdr:from>
    <xdr:to>
      <xdr:col>8</xdr:col>
      <xdr:colOff>666750</xdr:colOff>
      <xdr:row>7</xdr:row>
      <xdr:rowOff>152400</xdr:rowOff>
    </xdr:to>
    <xdr:sp macro="" textlink="">
      <xdr:nvSpPr>
        <xdr:cNvPr id="1196238" name="Line 15"/>
        <xdr:cNvSpPr>
          <a:spLocks noChangeShapeType="1"/>
        </xdr:cNvSpPr>
      </xdr:nvSpPr>
      <xdr:spPr bwMode="auto">
        <a:xfrm flipV="1">
          <a:off x="5695950" y="847725"/>
          <a:ext cx="6572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676275</xdr:colOff>
      <xdr:row>5</xdr:row>
      <xdr:rowOff>95250</xdr:rowOff>
    </xdr:from>
    <xdr:to>
      <xdr:col>8</xdr:col>
      <xdr:colOff>676275</xdr:colOff>
      <xdr:row>13</xdr:row>
      <xdr:rowOff>133350</xdr:rowOff>
    </xdr:to>
    <xdr:sp macro="" textlink="">
      <xdr:nvSpPr>
        <xdr:cNvPr id="1196239" name="Line 16"/>
        <xdr:cNvSpPr>
          <a:spLocks noChangeShapeType="1"/>
        </xdr:cNvSpPr>
      </xdr:nvSpPr>
      <xdr:spPr bwMode="auto">
        <a:xfrm>
          <a:off x="6362700" y="857250"/>
          <a:ext cx="0" cy="1323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95251</xdr:rowOff>
    </xdr:from>
    <xdr:to>
      <xdr:col>5</xdr:col>
      <xdr:colOff>1492417</xdr:colOff>
      <xdr:row>2</xdr:row>
      <xdr:rowOff>196517</xdr:rowOff>
    </xdr:to>
    <xdr:sp macro="" textlink="">
      <xdr:nvSpPr>
        <xdr:cNvPr id="11268" name="WordArt 4"/>
        <xdr:cNvSpPr>
          <a:spLocks noChangeArrowheads="1" noChangeShapeType="1" noTextEdit="1"/>
        </xdr:cNvSpPr>
      </xdr:nvSpPr>
      <xdr:spPr bwMode="auto">
        <a:xfrm>
          <a:off x="1193132" y="95251"/>
          <a:ext cx="7026943" cy="552450"/>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Tail Sizing Checks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1314450</xdr:colOff>
      <xdr:row>1</xdr:row>
      <xdr:rowOff>9525</xdr:rowOff>
    </xdr:from>
    <xdr:to>
      <xdr:col>3</xdr:col>
      <xdr:colOff>533400</xdr:colOff>
      <xdr:row>3</xdr:row>
      <xdr:rowOff>123825</xdr:rowOff>
    </xdr:to>
    <xdr:sp macro="" textlink="">
      <xdr:nvSpPr>
        <xdr:cNvPr id="25601" name="WordArt 1"/>
        <xdr:cNvSpPr>
          <a:spLocks noChangeArrowheads="1" noChangeShapeType="1" noTextEdit="1"/>
        </xdr:cNvSpPr>
      </xdr:nvSpPr>
      <xdr:spPr bwMode="auto">
        <a:xfrm>
          <a:off x="1571625" y="171450"/>
          <a:ext cx="3143250" cy="438150"/>
        </a:xfrm>
        <a:prstGeom prst="rect">
          <a:avLst/>
        </a:prstGeom>
      </xdr:spPr>
      <xdr:txBody>
        <a:bodyPr wrap="none" fromWordArt="1">
          <a:prstTxWarp prst="textPlain">
            <a:avLst>
              <a:gd name="adj" fmla="val 50000"/>
            </a:avLst>
          </a:prstTxWarp>
        </a:bodyPr>
        <a:lstStyle/>
        <a:p>
          <a:pPr algn="ctr" rtl="0"/>
          <a:r>
            <a:rPr lang="en-US" sz="9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Results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1647825</xdr:colOff>
      <xdr:row>0</xdr:row>
      <xdr:rowOff>95250</xdr:rowOff>
    </xdr:from>
    <xdr:to>
      <xdr:col>0</xdr:col>
      <xdr:colOff>4276725</xdr:colOff>
      <xdr:row>4</xdr:row>
      <xdr:rowOff>104775</xdr:rowOff>
    </xdr:to>
    <xdr:sp macro="" textlink="">
      <xdr:nvSpPr>
        <xdr:cNvPr id="22529" name="WordArt 1"/>
        <xdr:cNvSpPr>
          <a:spLocks noChangeArrowheads="1" noChangeShapeType="1" noTextEdit="1"/>
        </xdr:cNvSpPr>
      </xdr:nvSpPr>
      <xdr:spPr bwMode="auto">
        <a:xfrm>
          <a:off x="1647825" y="95250"/>
          <a:ext cx="2628900" cy="657225"/>
        </a:xfrm>
        <a:prstGeom prst="rect">
          <a:avLst/>
        </a:prstGeom>
      </xdr:spPr>
      <xdr:txBody>
        <a:bodyPr wrap="none" fromWordArt="1">
          <a:prstTxWarp prst="textPlain">
            <a:avLst>
              <a:gd name="adj" fmla="val 50000"/>
            </a:avLst>
          </a:prstTxWarp>
        </a:bodyPr>
        <a:lstStyle/>
        <a:p>
          <a:pPr algn="ctr" rtl="0"/>
          <a:r>
            <a:rPr lang="en-US" sz="2400" kern="10" spc="0">
              <a:ln w="9525">
                <a:solidFill>
                  <a:srgbClr val="000000"/>
                </a:solidFill>
                <a:round/>
                <a:headEnd/>
                <a:tailEnd/>
              </a:ln>
              <a:gradFill rotWithShape="0">
                <a:gsLst>
                  <a:gs pos="0">
                    <a:srgbClr val="0000FF">
                      <a:gamma/>
                      <a:tint val="25490"/>
                      <a:invGamma/>
                    </a:srgbClr>
                  </a:gs>
                  <a:gs pos="100000">
                    <a:srgbClr val="0000FF"/>
                  </a:gs>
                </a:gsLst>
                <a:lin ang="5400000" scaled="1"/>
              </a:gradFill>
              <a:effectLst>
                <a:outerShdw dist="35921" dir="2700000" algn="ctr" rotWithShape="0">
                  <a:srgbClr val="808080"/>
                </a:outerShdw>
              </a:effectLst>
              <a:latin typeface="Arial Black"/>
            </a:rPr>
            <a:t>Glossary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glide.net.au/flyingwing/herks.htm" TargetMode="External"/><Relationship Id="rId2" Type="http://schemas.openxmlformats.org/officeDocument/2006/relationships/hyperlink" Target="http://www.ae.uiuc.edu/m-selig/" TargetMode="External"/><Relationship Id="rId1" Type="http://schemas.openxmlformats.org/officeDocument/2006/relationships/hyperlink" Target="http://www.soartech-aero.com/"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xflr5.sourceforge.net/xflr5.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52"/>
  <sheetViews>
    <sheetView showGridLines="0" zoomScale="90" zoomScaleNormal="90" workbookViewId="0">
      <selection activeCell="A10" sqref="A10"/>
    </sheetView>
  </sheetViews>
  <sheetFormatPr defaultColWidth="103.375" defaultRowHeight="12.75" x14ac:dyDescent="0.25"/>
  <cols>
    <col min="1" max="1" width="109.625" style="54" customWidth="1"/>
    <col min="2" max="2" width="12.75" style="54" customWidth="1"/>
    <col min="3" max="3" width="11.5" style="54" customWidth="1"/>
    <col min="4" max="4" width="13.375" style="54" customWidth="1"/>
    <col min="5" max="5" width="13" style="54" customWidth="1"/>
    <col min="6" max="6" width="15.375" style="54" customWidth="1"/>
    <col min="7" max="7" width="12" style="54" customWidth="1"/>
    <col min="8" max="16384" width="103.375" style="54"/>
  </cols>
  <sheetData>
    <row r="4" spans="1:1" ht="19.5" x14ac:dyDescent="0.25">
      <c r="A4" s="155" t="s">
        <v>156</v>
      </c>
    </row>
    <row r="5" spans="1:1" ht="19.5" x14ac:dyDescent="0.25">
      <c r="A5" s="155"/>
    </row>
    <row r="6" spans="1:1" ht="19.5" x14ac:dyDescent="0.25">
      <c r="A6" s="155"/>
    </row>
    <row r="8" spans="1:1" x14ac:dyDescent="0.25">
      <c r="A8" s="111" t="s">
        <v>76</v>
      </c>
    </row>
    <row r="9" spans="1:1" x14ac:dyDescent="0.25">
      <c r="A9" s="108" t="s">
        <v>186</v>
      </c>
    </row>
    <row r="10" spans="1:1" ht="63.75" x14ac:dyDescent="0.25">
      <c r="A10" s="156" t="s">
        <v>185</v>
      </c>
    </row>
    <row r="12" spans="1:1" x14ac:dyDescent="0.25">
      <c r="A12" s="111" t="s">
        <v>62</v>
      </c>
    </row>
    <row r="13" spans="1:1" x14ac:dyDescent="0.25">
      <c r="A13" s="157" t="s">
        <v>68</v>
      </c>
    </row>
    <row r="14" spans="1:1" x14ac:dyDescent="0.25">
      <c r="A14" s="230" t="s">
        <v>232</v>
      </c>
    </row>
    <row r="15" spans="1:1" x14ac:dyDescent="0.25">
      <c r="A15" s="157" t="s">
        <v>61</v>
      </c>
    </row>
    <row r="16" spans="1:1" x14ac:dyDescent="0.25">
      <c r="A16" s="230" t="s">
        <v>210</v>
      </c>
    </row>
    <row r="18" spans="1:1" x14ac:dyDescent="0.25">
      <c r="A18" s="111" t="s">
        <v>55</v>
      </c>
    </row>
    <row r="19" spans="1:1" ht="38.25" x14ac:dyDescent="0.25">
      <c r="A19" s="54" t="s">
        <v>116</v>
      </c>
    </row>
    <row r="20" spans="1:1" ht="25.5" x14ac:dyDescent="0.25">
      <c r="A20" s="54" t="s">
        <v>69</v>
      </c>
    </row>
    <row r="21" spans="1:1" ht="51" x14ac:dyDescent="0.25">
      <c r="A21" s="54" t="s">
        <v>129</v>
      </c>
    </row>
    <row r="23" spans="1:1" x14ac:dyDescent="0.25">
      <c r="A23" s="111" t="s">
        <v>54</v>
      </c>
    </row>
    <row r="24" spans="1:1" ht="25.5" x14ac:dyDescent="0.25">
      <c r="A24" s="54" t="s">
        <v>130</v>
      </c>
    </row>
    <row r="25" spans="1:1" ht="25.5" x14ac:dyDescent="0.25">
      <c r="A25" s="54" t="s">
        <v>85</v>
      </c>
    </row>
    <row r="27" spans="1:1" x14ac:dyDescent="0.25">
      <c r="A27" s="111" t="s">
        <v>124</v>
      </c>
    </row>
    <row r="28" spans="1:1" x14ac:dyDescent="0.25">
      <c r="A28" s="54" t="s">
        <v>131</v>
      </c>
    </row>
    <row r="30" spans="1:1" x14ac:dyDescent="0.25">
      <c r="A30" s="111" t="s">
        <v>122</v>
      </c>
    </row>
    <row r="31" spans="1:1" x14ac:dyDescent="0.25">
      <c r="A31" s="54" t="s">
        <v>131</v>
      </c>
    </row>
    <row r="32" spans="1:1" ht="25.5" x14ac:dyDescent="0.25">
      <c r="A32" s="54" t="s">
        <v>132</v>
      </c>
    </row>
    <row r="34" spans="1:1" x14ac:dyDescent="0.25">
      <c r="A34" s="111" t="s">
        <v>123</v>
      </c>
    </row>
    <row r="35" spans="1:1" ht="38.25" x14ac:dyDescent="0.25">
      <c r="A35" s="54" t="s">
        <v>128</v>
      </c>
    </row>
    <row r="36" spans="1:1" x14ac:dyDescent="0.25">
      <c r="A36" s="196" t="s">
        <v>190</v>
      </c>
    </row>
    <row r="38" spans="1:1" x14ac:dyDescent="0.25">
      <c r="A38" s="111" t="s">
        <v>117</v>
      </c>
    </row>
    <row r="39" spans="1:1" x14ac:dyDescent="0.25">
      <c r="A39" s="196" t="s">
        <v>191</v>
      </c>
    </row>
    <row r="41" spans="1:1" x14ac:dyDescent="0.25">
      <c r="A41" s="111" t="s">
        <v>113</v>
      </c>
    </row>
    <row r="42" spans="1:1" ht="25.5" x14ac:dyDescent="0.25">
      <c r="A42" s="54" t="s">
        <v>59</v>
      </c>
    </row>
    <row r="44" spans="1:1" x14ac:dyDescent="0.25">
      <c r="A44" s="108" t="s">
        <v>143</v>
      </c>
    </row>
    <row r="45" spans="1:1" x14ac:dyDescent="0.25">
      <c r="A45" s="54" t="s">
        <v>144</v>
      </c>
    </row>
    <row r="47" spans="1:1" x14ac:dyDescent="0.25">
      <c r="A47" s="111" t="s">
        <v>133</v>
      </c>
    </row>
    <row r="48" spans="1:1" x14ac:dyDescent="0.25">
      <c r="A48" s="111"/>
    </row>
    <row r="49" spans="1:1" x14ac:dyDescent="0.25">
      <c r="A49" s="111" t="s">
        <v>114</v>
      </c>
    </row>
    <row r="50" spans="1:1" x14ac:dyDescent="0.25">
      <c r="A50" s="54" t="s">
        <v>127</v>
      </c>
    </row>
    <row r="52" spans="1:1" x14ac:dyDescent="0.25">
      <c r="A52" s="222" t="s">
        <v>233</v>
      </c>
    </row>
  </sheetData>
  <sheetProtection sheet="1"/>
  <phoneticPr fontId="0" type="noConversion"/>
  <printOptions horizontalCentered="1"/>
  <pageMargins left="0.44" right="0.43" top="0.33" bottom="0.33" header="0.22" footer="0.21"/>
  <pageSetup scale="7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showGridLines="0" tabSelected="1" zoomScaleNormal="100" workbookViewId="0">
      <selection activeCell="B1" sqref="B1"/>
    </sheetView>
  </sheetViews>
  <sheetFormatPr defaultColWidth="82.25" defaultRowHeight="12.75" x14ac:dyDescent="0.25"/>
  <cols>
    <col min="1" max="1" width="91.875" style="52" customWidth="1"/>
    <col min="2" max="2" width="16.5" style="52" customWidth="1"/>
    <col min="3" max="3" width="13.375" style="52" customWidth="1"/>
    <col min="4" max="4" width="20.25" style="52" customWidth="1"/>
    <col min="5" max="5" width="14.75" style="52" customWidth="1"/>
    <col min="6" max="6" width="16.5" style="52" customWidth="1"/>
    <col min="7" max="7" width="14.75" style="52" customWidth="1"/>
    <col min="8" max="16384" width="82.25" style="52"/>
  </cols>
  <sheetData>
    <row r="2" spans="1:1" ht="19.5" x14ac:dyDescent="0.25">
      <c r="A2" s="62"/>
    </row>
    <row r="9" spans="1:1" x14ac:dyDescent="0.25">
      <c r="A9" s="63" t="s">
        <v>51</v>
      </c>
    </row>
    <row r="10" spans="1:1" ht="38.1" customHeight="1" x14ac:dyDescent="0.25">
      <c r="A10" s="52" t="s">
        <v>56</v>
      </c>
    </row>
    <row r="12" spans="1:1" x14ac:dyDescent="0.25">
      <c r="A12" s="63" t="s">
        <v>52</v>
      </c>
    </row>
    <row r="13" spans="1:1" ht="38.25" x14ac:dyDescent="0.25">
      <c r="A13" s="52" t="s">
        <v>57</v>
      </c>
    </row>
    <row r="15" spans="1:1" x14ac:dyDescent="0.25">
      <c r="A15" s="63" t="s">
        <v>53</v>
      </c>
    </row>
    <row r="16" spans="1:1" ht="38.1" customHeight="1" x14ac:dyDescent="0.25">
      <c r="A16" s="52" t="s">
        <v>58</v>
      </c>
    </row>
    <row r="18" spans="1:1" x14ac:dyDescent="0.25">
      <c r="A18" s="63" t="s">
        <v>63</v>
      </c>
    </row>
    <row r="19" spans="1:1" ht="25.5" x14ac:dyDescent="0.25">
      <c r="A19" s="52" t="s">
        <v>111</v>
      </c>
    </row>
    <row r="21" spans="1:1" s="56" customFormat="1" x14ac:dyDescent="0.25">
      <c r="A21" s="63" t="s">
        <v>230</v>
      </c>
    </row>
    <row r="22" spans="1:1" s="56" customFormat="1" x14ac:dyDescent="0.25">
      <c r="A22" s="56" t="s">
        <v>231</v>
      </c>
    </row>
    <row r="23" spans="1:1" s="56" customFormat="1" x14ac:dyDescent="0.25"/>
    <row r="24" spans="1:1" x14ac:dyDescent="0.25">
      <c r="A24" s="63" t="s">
        <v>86</v>
      </c>
    </row>
    <row r="25" spans="1:1" ht="38.25" x14ac:dyDescent="0.25">
      <c r="A25" s="56" t="s">
        <v>194</v>
      </c>
    </row>
    <row r="27" spans="1:1" s="56" customFormat="1" x14ac:dyDescent="0.25">
      <c r="A27" s="63" t="s">
        <v>87</v>
      </c>
    </row>
    <row r="28" spans="1:1" s="56" customFormat="1" ht="63" customHeight="1" x14ac:dyDescent="0.25">
      <c r="A28" s="56" t="s">
        <v>195</v>
      </c>
    </row>
    <row r="29" spans="1:1" s="56" customFormat="1" x14ac:dyDescent="0.25"/>
    <row r="30" spans="1:1" s="56" customFormat="1" x14ac:dyDescent="0.25">
      <c r="A30" s="56" t="s">
        <v>115</v>
      </c>
    </row>
    <row r="31" spans="1:1" s="56" customFormat="1" x14ac:dyDescent="0.25"/>
    <row r="32" spans="1:1" s="56" customFormat="1" x14ac:dyDescent="0.25">
      <c r="A32" s="56" t="s">
        <v>88</v>
      </c>
    </row>
  </sheetData>
  <sheetProtection sheet="1"/>
  <phoneticPr fontId="0" type="noConversion"/>
  <pageMargins left="0.75" right="0.75" top="1" bottom="1" header="0.5" footer="0.5"/>
  <pageSetup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39"/>
  <sheetViews>
    <sheetView showGridLines="0" zoomScaleNormal="100" workbookViewId="0"/>
  </sheetViews>
  <sheetFormatPr defaultRowHeight="13.5" x14ac:dyDescent="0.25"/>
  <cols>
    <col min="1" max="1" width="3.5" customWidth="1"/>
    <col min="7" max="7" width="9.125" customWidth="1"/>
    <col min="14" max="14" width="11.875" customWidth="1"/>
  </cols>
  <sheetData>
    <row r="5" spans="1:21" ht="14.25" thickBot="1" x14ac:dyDescent="0.3">
      <c r="A5" s="223"/>
      <c r="B5" s="223"/>
      <c r="C5" s="223"/>
      <c r="D5" s="223"/>
      <c r="E5" s="223"/>
      <c r="F5" s="223"/>
      <c r="G5" s="223"/>
      <c r="H5" s="223"/>
      <c r="I5" s="223"/>
      <c r="J5" s="223"/>
      <c r="K5" s="223"/>
      <c r="L5" s="223"/>
      <c r="M5" s="223"/>
      <c r="N5" s="223"/>
      <c r="O5" s="227"/>
      <c r="P5" s="227"/>
      <c r="Q5" s="227"/>
      <c r="R5" s="227"/>
      <c r="S5" s="227"/>
      <c r="T5" s="227"/>
      <c r="U5" s="227"/>
    </row>
    <row r="6" spans="1:21" ht="14.25" thickTop="1" x14ac:dyDescent="0.25">
      <c r="O6" s="227"/>
      <c r="P6" s="227"/>
      <c r="Q6" s="227"/>
      <c r="R6" s="227"/>
      <c r="S6" s="227"/>
      <c r="T6" s="227"/>
      <c r="U6" s="227"/>
    </row>
    <row r="7" spans="1:21" x14ac:dyDescent="0.25">
      <c r="O7" s="227"/>
      <c r="P7" s="227"/>
      <c r="Q7" s="227"/>
      <c r="R7" s="227"/>
      <c r="S7" s="227"/>
      <c r="T7" s="227"/>
      <c r="U7" s="227"/>
    </row>
    <row r="26" spans="2:7" ht="20.25" x14ac:dyDescent="0.35">
      <c r="B26" s="308" t="s">
        <v>203</v>
      </c>
      <c r="C26" s="308"/>
      <c r="D26" s="308"/>
      <c r="E26" s="308"/>
      <c r="F26" s="309"/>
    </row>
    <row r="29" spans="2:7" ht="20.25" x14ac:dyDescent="0.35">
      <c r="B29" s="308" t="s">
        <v>204</v>
      </c>
      <c r="C29" s="308"/>
      <c r="D29" s="308"/>
      <c r="E29" s="308"/>
      <c r="F29" s="308"/>
      <c r="G29" s="308"/>
    </row>
    <row r="32" spans="2:7" ht="20.25" x14ac:dyDescent="0.35">
      <c r="B32" s="308" t="s">
        <v>202</v>
      </c>
      <c r="C32" s="308"/>
      <c r="D32" s="308"/>
      <c r="E32" s="308"/>
      <c r="F32" s="308"/>
      <c r="G32" s="308"/>
    </row>
    <row r="33" spans="2:9" x14ac:dyDescent="0.25">
      <c r="B33" s="226"/>
    </row>
    <row r="34" spans="2:9" x14ac:dyDescent="0.25">
      <c r="B34" s="226"/>
      <c r="I34" s="224"/>
    </row>
    <row r="35" spans="2:9" x14ac:dyDescent="0.25">
      <c r="B35" s="226"/>
    </row>
    <row r="36" spans="2:9" ht="32.25" x14ac:dyDescent="0.55000000000000004">
      <c r="B36" s="226"/>
      <c r="H36" s="229"/>
    </row>
    <row r="37" spans="2:9" x14ac:dyDescent="0.25">
      <c r="B37" s="226"/>
    </row>
    <row r="38" spans="2:9" ht="20.25" x14ac:dyDescent="0.35">
      <c r="B38" s="228" t="s">
        <v>209</v>
      </c>
      <c r="C38" s="228"/>
      <c r="D38" s="228"/>
      <c r="E38" s="228"/>
      <c r="F38" s="228"/>
      <c r="G38" s="228"/>
    </row>
    <row r="39" spans="2:9" ht="20.25" x14ac:dyDescent="0.35">
      <c r="H39" s="228"/>
    </row>
  </sheetData>
  <sheetProtection sheet="1" objects="1" scenarios="1"/>
  <mergeCells count="3">
    <mergeCell ref="B26:F26"/>
    <mergeCell ref="B29:G29"/>
    <mergeCell ref="B32:G32"/>
  </mergeCells>
  <phoneticPr fontId="62" type="noConversion"/>
  <hyperlinks>
    <hyperlink ref="B26:E26" r:id="rId1" display="SoarTech Aero Publications"/>
    <hyperlink ref="B29:G29" r:id="rId2" display="UIUC Applied Aerodynamics Group"/>
    <hyperlink ref="B32:G32" r:id="rId3" display="HERK STOKELY'S HANDLAUNCH FLYING WING"/>
    <hyperlink ref="B39:H39" r:id="rId4" display="XFLR5 Airfoil and Wing Analysis Tool "/>
  </hyperlinks>
  <pageMargins left="0.5" right="0.5" top="0.33" bottom="0.33" header="0.25" footer="0.31"/>
  <pageSetup orientation="landscape" horizontalDpi="4294967293" verticalDpi="4294967293"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3" transitionEvaluation="1"/>
  <dimension ref="A3:X103"/>
  <sheetViews>
    <sheetView showGridLines="0" topLeftCell="A13" zoomScaleNormal="100" zoomScalePageLayoutView="90" workbookViewId="0">
      <selection activeCell="H11" sqref="H11"/>
    </sheetView>
  </sheetViews>
  <sheetFormatPr defaultColWidth="10.625" defaultRowHeight="12.75" x14ac:dyDescent="0.25"/>
  <cols>
    <col min="1" max="1" width="6.875" style="87" customWidth="1"/>
    <col min="2" max="2" width="20.125" style="87" customWidth="1"/>
    <col min="3" max="3" width="9.875" style="87" customWidth="1"/>
    <col min="4" max="4" width="13.25" style="87" customWidth="1"/>
    <col min="5" max="5" width="10.625" style="87" customWidth="1"/>
    <col min="6" max="6" width="9" style="87" customWidth="1"/>
    <col min="7" max="7" width="12.375" style="87" customWidth="1"/>
    <col min="8" max="8" width="12" style="87" customWidth="1"/>
    <col min="9" max="9" width="15.625" style="87" customWidth="1"/>
    <col min="10" max="10" width="12.625" style="87" customWidth="1"/>
    <col min="11" max="11" width="13.125" style="87" customWidth="1"/>
    <col min="12" max="12" width="11.75" style="87" customWidth="1"/>
    <col min="13" max="13" width="11" style="87" customWidth="1"/>
    <col min="14" max="14" width="6.125" style="87" bestFit="1" customWidth="1"/>
    <col min="15" max="15" width="5.75" style="87" customWidth="1"/>
    <col min="16" max="16" width="6.75" style="87" customWidth="1"/>
    <col min="17" max="17" width="10.625" style="87"/>
    <col min="18" max="18" width="6.25" style="87" bestFit="1" customWidth="1"/>
    <col min="19" max="19" width="7.125" style="87" customWidth="1"/>
    <col min="20" max="20" width="9.25" style="87" bestFit="1" customWidth="1"/>
    <col min="21" max="21" width="13.75" style="87" bestFit="1" customWidth="1"/>
    <col min="22" max="16384" width="10.625" style="87"/>
  </cols>
  <sheetData>
    <row r="3" spans="1:17" x14ac:dyDescent="0.25">
      <c r="B3" s="83"/>
    </row>
    <row r="4" spans="1:17" ht="12.75" customHeight="1" x14ac:dyDescent="0.25">
      <c r="B4" s="55"/>
    </row>
    <row r="5" spans="1:17" ht="12.75" customHeight="1" x14ac:dyDescent="0.25">
      <c r="B5" s="195" t="s">
        <v>225</v>
      </c>
      <c r="I5" s="137"/>
      <c r="K5" s="158"/>
    </row>
    <row r="6" spans="1:17" ht="12.75" customHeight="1" x14ac:dyDescent="0.25">
      <c r="A6" s="86"/>
      <c r="B6" s="57">
        <v>1680</v>
      </c>
    </row>
    <row r="7" spans="1:17" ht="12.75" customHeight="1" x14ac:dyDescent="0.25">
      <c r="A7" s="86"/>
      <c r="G7" s="107"/>
      <c r="J7" s="120"/>
      <c r="K7" s="120"/>
      <c r="L7" s="278" t="s">
        <v>260</v>
      </c>
    </row>
    <row r="8" spans="1:17" ht="12.75" customHeight="1" x14ac:dyDescent="0.25">
      <c r="A8" s="86"/>
      <c r="B8" s="277"/>
      <c r="G8" s="107"/>
      <c r="J8" s="120"/>
      <c r="K8" s="120"/>
    </row>
    <row r="9" spans="1:17" ht="12.75" customHeight="1" x14ac:dyDescent="0.25">
      <c r="A9" s="86"/>
      <c r="G9" s="107"/>
      <c r="J9" s="120"/>
      <c r="K9" s="120"/>
    </row>
    <row r="10" spans="1:17" ht="12.75" customHeight="1" x14ac:dyDescent="0.25">
      <c r="A10" s="86"/>
      <c r="C10" s="69" t="s">
        <v>0</v>
      </c>
      <c r="F10" s="69" t="s">
        <v>0</v>
      </c>
      <c r="H10" s="69" t="s">
        <v>0</v>
      </c>
      <c r="K10" s="120"/>
    </row>
    <row r="11" spans="1:17" ht="12.75" customHeight="1" x14ac:dyDescent="0.25">
      <c r="A11" s="86"/>
      <c r="C11" s="117">
        <v>0</v>
      </c>
      <c r="F11" s="117">
        <v>46</v>
      </c>
      <c r="H11" s="117">
        <v>60</v>
      </c>
      <c r="J11" s="124" t="s">
        <v>0</v>
      </c>
      <c r="K11" s="120"/>
    </row>
    <row r="12" spans="1:17" ht="12.75" customHeight="1" x14ac:dyDescent="0.25">
      <c r="A12" s="86"/>
      <c r="J12" s="113">
        <v>80</v>
      </c>
      <c r="K12" s="120"/>
    </row>
    <row r="13" spans="1:17" ht="12.75" customHeight="1" x14ac:dyDescent="0.25">
      <c r="A13" s="86"/>
      <c r="B13" s="69" t="s">
        <v>3</v>
      </c>
      <c r="D13" s="69" t="s">
        <v>4</v>
      </c>
      <c r="G13" s="112" t="s">
        <v>36</v>
      </c>
      <c r="I13" s="112" t="s">
        <v>119</v>
      </c>
      <c r="K13" s="74"/>
    </row>
    <row r="14" spans="1:17" ht="12.75" customHeight="1" x14ac:dyDescent="0.25">
      <c r="A14" s="86"/>
      <c r="B14" s="117">
        <v>300</v>
      </c>
      <c r="D14" s="117">
        <v>300</v>
      </c>
      <c r="F14" s="107"/>
      <c r="G14" s="113">
        <v>174</v>
      </c>
      <c r="I14" s="113">
        <v>102</v>
      </c>
      <c r="J14" s="74"/>
      <c r="K14" s="112" t="s">
        <v>5</v>
      </c>
      <c r="L14" s="68"/>
      <c r="M14" s="68"/>
      <c r="N14" s="68"/>
      <c r="O14" s="68"/>
      <c r="P14" s="68"/>
      <c r="Q14" s="68"/>
    </row>
    <row r="15" spans="1:17" ht="12.75" customHeight="1" x14ac:dyDescent="0.25">
      <c r="A15" s="86"/>
      <c r="B15" s="130"/>
      <c r="C15" s="130"/>
      <c r="D15" s="130"/>
      <c r="E15" s="130"/>
      <c r="F15" s="130"/>
      <c r="G15" s="130"/>
      <c r="H15" s="130"/>
      <c r="I15" s="130"/>
      <c r="J15" s="131"/>
      <c r="K15" s="113">
        <v>0</v>
      </c>
      <c r="L15" s="69"/>
      <c r="M15" s="70"/>
      <c r="N15" s="68"/>
      <c r="O15" s="68"/>
      <c r="P15" s="68"/>
      <c r="Q15" s="68"/>
    </row>
    <row r="16" spans="1:17" ht="12.75" customHeight="1" x14ac:dyDescent="0.25">
      <c r="A16" s="86"/>
      <c r="C16" s="69" t="s">
        <v>6</v>
      </c>
      <c r="F16" s="112" t="s">
        <v>7</v>
      </c>
      <c r="G16" s="107"/>
      <c r="H16" s="69" t="s">
        <v>37</v>
      </c>
      <c r="J16" s="124" t="s">
        <v>118</v>
      </c>
      <c r="K16" s="120"/>
      <c r="L16" s="71"/>
      <c r="M16" s="72"/>
      <c r="N16" s="68"/>
      <c r="O16" s="68"/>
      <c r="P16" s="68"/>
      <c r="Q16" s="68"/>
    </row>
    <row r="17" spans="1:24" ht="12.75" customHeight="1" x14ac:dyDescent="0.25">
      <c r="A17" s="86"/>
      <c r="C17" s="117">
        <v>888</v>
      </c>
      <c r="D17" s="93"/>
      <c r="F17" s="117">
        <v>718</v>
      </c>
      <c r="G17" s="93"/>
      <c r="H17" s="117">
        <v>78</v>
      </c>
      <c r="J17" s="117">
        <v>20</v>
      </c>
    </row>
    <row r="18" spans="1:24" ht="12.75" customHeight="1" x14ac:dyDescent="0.25">
      <c r="A18" s="86"/>
      <c r="D18" s="68"/>
      <c r="G18" s="68"/>
    </row>
    <row r="19" spans="1:24" ht="12.75" customHeight="1" x14ac:dyDescent="0.25">
      <c r="A19" s="86"/>
      <c r="B19" s="149" t="s">
        <v>261</v>
      </c>
      <c r="D19" s="93"/>
      <c r="E19" s="68"/>
      <c r="G19" s="93"/>
    </row>
    <row r="20" spans="1:24" ht="41.25" customHeight="1" x14ac:dyDescent="0.25">
      <c r="A20" s="86"/>
      <c r="B20" s="293" t="s">
        <v>47</v>
      </c>
      <c r="C20" s="294"/>
    </row>
    <row r="21" spans="1:24" ht="15.75" customHeight="1" x14ac:dyDescent="0.25">
      <c r="A21" s="86"/>
      <c r="B21" s="117">
        <v>665</v>
      </c>
      <c r="J21" s="104"/>
    </row>
    <row r="22" spans="1:24" ht="12.75" customHeight="1" x14ac:dyDescent="0.25">
      <c r="A22" s="86"/>
      <c r="F22" s="68" t="s">
        <v>1</v>
      </c>
      <c r="G22" s="68" t="s">
        <v>2</v>
      </c>
      <c r="H22" s="68" t="s">
        <v>1</v>
      </c>
      <c r="I22" s="68" t="s">
        <v>2</v>
      </c>
      <c r="J22" s="68" t="s">
        <v>1</v>
      </c>
      <c r="K22" s="68" t="s">
        <v>2</v>
      </c>
      <c r="L22" s="93" t="s">
        <v>1</v>
      </c>
      <c r="M22" s="93" t="s">
        <v>2</v>
      </c>
    </row>
    <row r="23" spans="1:24" ht="12.75" customHeight="1" x14ac:dyDescent="0.25">
      <c r="A23" s="86"/>
      <c r="F23" s="68">
        <v>0</v>
      </c>
      <c r="G23" s="68">
        <v>0</v>
      </c>
      <c r="H23" s="68">
        <f>F25</f>
        <v>888</v>
      </c>
      <c r="I23" s="68">
        <f>G25</f>
        <v>300</v>
      </c>
      <c r="J23" s="68">
        <f>H24</f>
        <v>1606</v>
      </c>
      <c r="K23" s="68">
        <f>I24</f>
        <v>254</v>
      </c>
      <c r="L23" s="93">
        <f>J24</f>
        <v>1684</v>
      </c>
      <c r="M23" s="93">
        <f>K24</f>
        <v>194</v>
      </c>
    </row>
    <row r="24" spans="1:24" ht="25.5" customHeight="1" x14ac:dyDescent="0.25">
      <c r="A24" s="86"/>
      <c r="B24" s="293" t="s">
        <v>48</v>
      </c>
      <c r="C24" s="294"/>
      <c r="F24" s="68">
        <v>0</v>
      </c>
      <c r="G24" s="68">
        <f>B14</f>
        <v>300</v>
      </c>
      <c r="H24" s="68">
        <f>C17+F17</f>
        <v>1606</v>
      </c>
      <c r="I24" s="68">
        <f>I23-F11</f>
        <v>254</v>
      </c>
      <c r="J24" s="68">
        <f>C17+F17+H17</f>
        <v>1684</v>
      </c>
      <c r="K24" s="68">
        <f>K23-H11</f>
        <v>194</v>
      </c>
      <c r="L24" s="93">
        <f>C17+F17+H17+J17</f>
        <v>1704</v>
      </c>
      <c r="M24" s="93">
        <f>M23-J12</f>
        <v>114</v>
      </c>
    </row>
    <row r="25" spans="1:24" ht="12.75" customHeight="1" x14ac:dyDescent="0.25">
      <c r="A25" s="86"/>
      <c r="B25" s="117">
        <v>795</v>
      </c>
      <c r="C25" s="68"/>
      <c r="F25" s="68">
        <f>C17</f>
        <v>888</v>
      </c>
      <c r="G25" s="68">
        <f>B14-C11</f>
        <v>300</v>
      </c>
      <c r="H25" s="68">
        <f>C17+F17</f>
        <v>1606</v>
      </c>
      <c r="I25" s="68">
        <f>I24-G14</f>
        <v>80</v>
      </c>
      <c r="J25" s="68">
        <f>C17+F17+H17</f>
        <v>1684</v>
      </c>
      <c r="K25" s="68">
        <f>K24-I14</f>
        <v>92</v>
      </c>
      <c r="L25" s="93">
        <f>C17+F17+H17+J17</f>
        <v>1704</v>
      </c>
      <c r="M25" s="68">
        <f>M24-K15</f>
        <v>114</v>
      </c>
    </row>
    <row r="26" spans="1:24" ht="12.75" customHeight="1" x14ac:dyDescent="0.25">
      <c r="A26" s="86"/>
      <c r="F26" s="68">
        <f>C17</f>
        <v>888</v>
      </c>
      <c r="G26" s="68">
        <f>G25-D14</f>
        <v>0</v>
      </c>
      <c r="H26" s="68">
        <f>F26</f>
        <v>888</v>
      </c>
      <c r="I26" s="68">
        <f>G26</f>
        <v>0</v>
      </c>
      <c r="J26" s="68">
        <f>H25</f>
        <v>1606</v>
      </c>
      <c r="K26" s="68">
        <f>I25</f>
        <v>80</v>
      </c>
      <c r="L26" s="87">
        <f>J25</f>
        <v>1684</v>
      </c>
      <c r="M26" s="68">
        <f>K25</f>
        <v>92</v>
      </c>
    </row>
    <row r="27" spans="1:24" ht="12.75" customHeight="1" x14ac:dyDescent="0.25">
      <c r="A27" s="86"/>
      <c r="F27" s="68">
        <v>0</v>
      </c>
      <c r="G27" s="68">
        <v>0</v>
      </c>
      <c r="H27" s="68"/>
      <c r="I27" s="68"/>
      <c r="J27" s="68"/>
      <c r="K27" s="68"/>
    </row>
    <row r="28" spans="1:24" ht="12.75" customHeight="1" x14ac:dyDescent="0.25">
      <c r="A28" s="86"/>
      <c r="I28" s="132" t="s">
        <v>157</v>
      </c>
      <c r="J28" s="91"/>
      <c r="K28" s="75"/>
      <c r="L28" s="79"/>
      <c r="M28" s="75"/>
      <c r="S28" s="94"/>
      <c r="V28" s="95"/>
      <c r="W28" s="96"/>
    </row>
    <row r="29" spans="1:24" ht="12.75" customHeight="1" x14ac:dyDescent="0.25">
      <c r="A29" s="86"/>
      <c r="E29" s="133" t="s">
        <v>151</v>
      </c>
      <c r="F29" s="132">
        <v>0</v>
      </c>
      <c r="G29" s="134">
        <f>B14-C43</f>
        <v>221.85434593509535</v>
      </c>
      <c r="H29" s="93"/>
      <c r="I29" s="135">
        <v>0</v>
      </c>
      <c r="J29" s="136">
        <f>F31</f>
        <v>768.28450094792015</v>
      </c>
      <c r="K29" s="74"/>
      <c r="L29" s="79"/>
      <c r="M29" s="75"/>
      <c r="Q29" s="58"/>
      <c r="S29" s="83"/>
      <c r="T29" s="94"/>
      <c r="U29" s="100"/>
      <c r="V29" s="95"/>
      <c r="W29" s="88"/>
    </row>
    <row r="30" spans="1:24" s="68" customFormat="1" ht="12.75" customHeight="1" x14ac:dyDescent="0.25">
      <c r="A30" s="86"/>
      <c r="B30" s="87"/>
      <c r="C30" s="87"/>
      <c r="D30" s="87"/>
      <c r="E30" s="87"/>
      <c r="F30" s="137"/>
      <c r="G30" s="132"/>
      <c r="H30" s="93"/>
      <c r="I30" s="135">
        <f>G29</f>
        <v>221.85434593509535</v>
      </c>
      <c r="J30" s="136">
        <f>G29</f>
        <v>221.85434593509535</v>
      </c>
      <c r="K30" s="75"/>
      <c r="L30" s="74"/>
      <c r="M30" s="75"/>
      <c r="N30" s="95"/>
      <c r="O30" s="87"/>
      <c r="P30" s="87"/>
      <c r="Q30" s="58"/>
      <c r="R30" s="87"/>
      <c r="S30" s="83"/>
      <c r="T30" s="95"/>
      <c r="U30" s="101"/>
      <c r="V30" s="95"/>
      <c r="W30" s="87"/>
    </row>
    <row r="31" spans="1:24" s="68" customFormat="1" ht="12.75" customHeight="1" x14ac:dyDescent="0.25">
      <c r="A31" s="86"/>
      <c r="B31" s="87"/>
      <c r="C31" s="87"/>
      <c r="D31" s="138"/>
      <c r="E31" s="133" t="s">
        <v>154</v>
      </c>
      <c r="F31" s="139">
        <f>C44</f>
        <v>768.28450094792015</v>
      </c>
      <c r="G31" s="134">
        <f>0.25*C39+G29</f>
        <v>290.32080294412845</v>
      </c>
      <c r="H31" s="140" t="s">
        <v>155</v>
      </c>
      <c r="I31" s="87"/>
      <c r="J31" s="58"/>
      <c r="N31" s="141"/>
      <c r="O31" s="95"/>
      <c r="P31" s="87"/>
      <c r="Q31" s="87"/>
      <c r="R31" s="87"/>
      <c r="S31" s="87"/>
      <c r="T31" s="87"/>
    </row>
    <row r="32" spans="1:24" x14ac:dyDescent="0.25">
      <c r="B32" s="142"/>
      <c r="D32" s="143"/>
      <c r="E32" s="140" t="s">
        <v>154</v>
      </c>
      <c r="F32" s="96">
        <f>C44</f>
        <v>768.28450094792015</v>
      </c>
      <c r="G32" s="134">
        <f>G31-C39</f>
        <v>16.454974907995961</v>
      </c>
      <c r="H32" s="140" t="s">
        <v>155</v>
      </c>
      <c r="J32" s="58"/>
      <c r="L32" s="83"/>
      <c r="M32" s="144"/>
      <c r="N32" s="141"/>
      <c r="O32" s="95"/>
      <c r="Q32" s="68"/>
      <c r="R32" s="68"/>
      <c r="S32" s="68"/>
      <c r="T32" s="68"/>
      <c r="U32" s="68"/>
      <c r="V32" s="68"/>
      <c r="W32" s="68"/>
      <c r="X32" s="68"/>
    </row>
    <row r="33" spans="1:22" x14ac:dyDescent="0.25">
      <c r="B33" s="142"/>
      <c r="E33" s="68"/>
      <c r="M33" s="68"/>
      <c r="N33" s="68"/>
      <c r="P33" s="68"/>
      <c r="Q33" s="68"/>
      <c r="R33" s="68"/>
      <c r="S33" s="68"/>
      <c r="T33" s="68"/>
    </row>
    <row r="34" spans="1:22" ht="18" x14ac:dyDescent="0.25">
      <c r="A34" s="297" t="s">
        <v>112</v>
      </c>
      <c r="B34" s="298"/>
      <c r="C34" s="298"/>
      <c r="D34" s="68"/>
      <c r="E34" s="68"/>
      <c r="M34" s="68"/>
      <c r="N34" s="68"/>
      <c r="P34" s="68"/>
      <c r="Q34" s="68"/>
      <c r="R34" s="68"/>
      <c r="S34" s="68"/>
      <c r="T34" s="68"/>
    </row>
    <row r="35" spans="1:22" ht="12.75" customHeight="1" x14ac:dyDescent="0.25">
      <c r="A35" s="145" t="s">
        <v>14</v>
      </c>
      <c r="B35" s="120"/>
      <c r="C35" s="146">
        <f>2*(C17+F17+H17+J17)</f>
        <v>3408</v>
      </c>
      <c r="D35" s="145" t="s">
        <v>223</v>
      </c>
      <c r="L35" s="68"/>
      <c r="R35" s="68"/>
      <c r="S35" s="68"/>
      <c r="T35" s="68"/>
      <c r="U35" s="68"/>
      <c r="V35" s="68"/>
    </row>
    <row r="36" spans="1:22" ht="12.75" customHeight="1" x14ac:dyDescent="0.25">
      <c r="A36" s="145" t="s">
        <v>15</v>
      </c>
      <c r="B36" s="120"/>
      <c r="C36" s="250">
        <f>C35*C38/10000</f>
        <v>89.669999999999987</v>
      </c>
      <c r="D36" s="147" t="s">
        <v>227</v>
      </c>
      <c r="L36" s="68"/>
      <c r="R36" s="68"/>
      <c r="S36" s="68"/>
      <c r="T36" s="68"/>
      <c r="U36" s="68"/>
      <c r="V36" s="68"/>
    </row>
    <row r="37" spans="1:22" ht="14.25" x14ac:dyDescent="0.25">
      <c r="A37" s="145" t="s">
        <v>16</v>
      </c>
      <c r="B37" s="120"/>
      <c r="C37" s="146">
        <f>B6/C36</f>
        <v>18.735362997658083</v>
      </c>
      <c r="D37" s="145" t="s">
        <v>228</v>
      </c>
      <c r="L37" s="68"/>
      <c r="R37" s="68"/>
      <c r="S37" s="68"/>
      <c r="T37" s="68"/>
      <c r="U37" s="68"/>
      <c r="V37" s="68"/>
    </row>
    <row r="38" spans="1:22" ht="12.75" customHeight="1" x14ac:dyDescent="0.25">
      <c r="A38" s="145" t="s">
        <v>17</v>
      </c>
      <c r="B38" s="120"/>
      <c r="C38" s="146">
        <f>(C60+C70+C80+C90)/(C17+F17+H17+J17)*10000</f>
        <v>263.11619718309856</v>
      </c>
      <c r="D38" s="145" t="s">
        <v>223</v>
      </c>
      <c r="L38" s="68"/>
      <c r="R38" s="68"/>
      <c r="S38" s="68"/>
      <c r="T38" s="68"/>
      <c r="U38" s="68"/>
      <c r="V38" s="68"/>
    </row>
    <row r="39" spans="1:22" ht="12.75" customHeight="1" x14ac:dyDescent="0.25">
      <c r="A39" s="147" t="s">
        <v>153</v>
      </c>
      <c r="B39" s="120"/>
      <c r="C39" s="135">
        <f>((C60*C62)+(C70*C72)+(C80*C82)+(C90*C92))/(C60+C70+C80+C90)</f>
        <v>273.86582803613248</v>
      </c>
      <c r="D39" s="147" t="s">
        <v>223</v>
      </c>
      <c r="E39" s="89"/>
      <c r="L39" s="68"/>
      <c r="R39" s="68"/>
      <c r="S39" s="68"/>
      <c r="T39" s="68"/>
      <c r="U39" s="68"/>
      <c r="V39" s="68"/>
    </row>
    <row r="40" spans="1:22" ht="15.75" x14ac:dyDescent="0.25">
      <c r="A40" s="145" t="s">
        <v>42</v>
      </c>
      <c r="B40" s="120"/>
      <c r="C40" s="146">
        <f>C35/C38</f>
        <v>12.952452325192374</v>
      </c>
      <c r="D40" s="145"/>
      <c r="E40" s="89" t="s">
        <v>146</v>
      </c>
      <c r="K40" s="89"/>
    </row>
    <row r="41" spans="1:22" ht="15.75" x14ac:dyDescent="0.25">
      <c r="A41" s="147" t="s">
        <v>242</v>
      </c>
      <c r="B41" s="120"/>
      <c r="C41" s="146">
        <f>2*C38/B14-1</f>
        <v>0.75410798122065703</v>
      </c>
      <c r="D41" s="145"/>
      <c r="E41" s="89" t="s">
        <v>183</v>
      </c>
      <c r="K41" s="89"/>
    </row>
    <row r="42" spans="1:22" ht="12.75" customHeight="1" x14ac:dyDescent="0.25">
      <c r="A42" s="145" t="s">
        <v>18</v>
      </c>
      <c r="B42" s="120"/>
      <c r="C42" s="146">
        <f>(C60*C61+C70*C71+C80*C81+C90*C91)/C36*2-C39*0.25</f>
        <v>9.6791970558715406</v>
      </c>
      <c r="D42" s="145" t="s">
        <v>223</v>
      </c>
      <c r="E42" s="89" t="s">
        <v>184</v>
      </c>
      <c r="K42" s="89"/>
    </row>
    <row r="43" spans="1:22" ht="12.75" customHeight="1" x14ac:dyDescent="0.25">
      <c r="A43" s="145" t="s">
        <v>19</v>
      </c>
      <c r="B43" s="120"/>
      <c r="C43" s="146">
        <f>C42+C39*0.25</f>
        <v>78.145654064904662</v>
      </c>
      <c r="D43" s="145" t="s">
        <v>223</v>
      </c>
      <c r="E43" s="194"/>
      <c r="K43" s="89"/>
    </row>
    <row r="44" spans="1:22" ht="12.75" customHeight="1" x14ac:dyDescent="0.25">
      <c r="A44" s="147" t="s">
        <v>150</v>
      </c>
      <c r="B44" s="120"/>
      <c r="C44" s="146">
        <f>((C60*C65)+(C70*C75)+(C80*C85)+(C90*C95))/(C60+C70+C80+C90)</f>
        <v>768.28450094792015</v>
      </c>
      <c r="D44" s="147" t="s">
        <v>223</v>
      </c>
      <c r="E44" s="194"/>
      <c r="I44" s="249"/>
      <c r="K44" s="89"/>
    </row>
    <row r="45" spans="1:22" ht="12.75" customHeight="1" x14ac:dyDescent="0.25">
      <c r="A45" s="147"/>
      <c r="B45" s="120"/>
      <c r="C45" s="146"/>
      <c r="D45" s="147"/>
      <c r="F45" s="269" t="s">
        <v>249</v>
      </c>
      <c r="G45" s="137"/>
      <c r="H45" s="137"/>
      <c r="K45" s="194"/>
      <c r="L45" s="288"/>
      <c r="M45" s="289"/>
      <c r="N45" s="83"/>
      <c r="O45" s="145"/>
    </row>
    <row r="46" spans="1:22" ht="12.75" customHeight="1" x14ac:dyDescent="0.25">
      <c r="A46" s="147"/>
      <c r="B46" s="124" t="s">
        <v>220</v>
      </c>
      <c r="C46" s="146"/>
      <c r="D46" s="147"/>
      <c r="F46" s="133" t="s">
        <v>250</v>
      </c>
      <c r="G46" s="273">
        <v>24</v>
      </c>
      <c r="H46" s="137" t="s">
        <v>226</v>
      </c>
      <c r="J46" s="120"/>
      <c r="L46" s="145"/>
      <c r="N46" s="275"/>
      <c r="O46" s="145"/>
    </row>
    <row r="47" spans="1:22" ht="12.75" customHeight="1" x14ac:dyDescent="0.25">
      <c r="A47" s="147" t="s">
        <v>14</v>
      </c>
      <c r="B47" s="120"/>
      <c r="C47" s="146">
        <f>SUM(C66+C76+C86+C96)*2</f>
        <v>3333.590378438746</v>
      </c>
      <c r="D47" s="145" t="s">
        <v>223</v>
      </c>
      <c r="F47" s="133" t="s">
        <v>251</v>
      </c>
      <c r="G47" s="270">
        <f>9360*(G46/1.609344)*((C38/25.4)*0.0833333)</f>
        <v>120495.45127551361</v>
      </c>
      <c r="H47" s="137"/>
      <c r="J47" s="248"/>
      <c r="L47" s="101"/>
      <c r="N47" s="148"/>
      <c r="O47" s="84"/>
    </row>
    <row r="48" spans="1:22" ht="12.75" customHeight="1" x14ac:dyDescent="0.25">
      <c r="A48" s="147" t="s">
        <v>15</v>
      </c>
      <c r="B48" s="120"/>
      <c r="C48" s="250">
        <f>C47*C49/10000</f>
        <v>88.003476915390237</v>
      </c>
      <c r="D48" s="147" t="s">
        <v>227</v>
      </c>
      <c r="F48" s="89"/>
      <c r="G48" s="133"/>
      <c r="H48" s="270"/>
      <c r="L48" s="68"/>
    </row>
    <row r="49" spans="1:12" ht="15.75" x14ac:dyDescent="0.25">
      <c r="A49" s="147" t="s">
        <v>17</v>
      </c>
      <c r="B49" s="120"/>
      <c r="C49" s="146">
        <f>(C67+C77+C87+C97)/(C66+C76+C86+C96)*10000</f>
        <v>263.99007353928647</v>
      </c>
      <c r="D49" s="147" t="s">
        <v>223</v>
      </c>
      <c r="F49" s="271" t="s">
        <v>252</v>
      </c>
      <c r="G49" s="137"/>
      <c r="H49" s="137"/>
      <c r="K49" s="88"/>
      <c r="L49" s="59"/>
    </row>
    <row r="50" spans="1:12" ht="12.75" customHeight="1" x14ac:dyDescent="0.25">
      <c r="A50" s="147" t="s">
        <v>16</v>
      </c>
      <c r="B50" s="120"/>
      <c r="C50" s="146">
        <f>B6/C48</f>
        <v>19.090154831214377</v>
      </c>
      <c r="D50" s="145" t="s">
        <v>228</v>
      </c>
      <c r="F50" s="137"/>
      <c r="G50" s="104" t="s">
        <v>253</v>
      </c>
      <c r="H50" s="137"/>
      <c r="K50" s="88"/>
      <c r="L50" s="59"/>
    </row>
    <row r="51" spans="1:12" ht="12.75" customHeight="1" x14ac:dyDescent="0.25">
      <c r="A51" s="147" t="s">
        <v>221</v>
      </c>
      <c r="B51" s="120"/>
      <c r="C51" s="146">
        <f>C47/C49</f>
        <v>12.627711086805874</v>
      </c>
      <c r="D51" s="147"/>
      <c r="F51" s="272" t="s">
        <v>254</v>
      </c>
      <c r="G51" s="273">
        <v>17.5</v>
      </c>
      <c r="H51" s="147" t="s">
        <v>226</v>
      </c>
      <c r="K51" s="88"/>
      <c r="L51" s="59"/>
    </row>
    <row r="52" spans="1:12" ht="12.75" customHeight="1" x14ac:dyDescent="0.25">
      <c r="A52" s="147"/>
      <c r="B52" s="120"/>
      <c r="C52" s="146"/>
      <c r="D52" s="147"/>
      <c r="F52" s="133" t="s">
        <v>205</v>
      </c>
      <c r="G52" s="153">
        <f>ROUND(((B6*0.0352736)*0.0625)/((0.5*0.002378*((G51*0.6213712)*1.466667)^2)*(C36*1550.003*0.006944444))*100,2)</f>
        <v>1.27</v>
      </c>
      <c r="H52" s="137"/>
      <c r="I52" s="137"/>
      <c r="K52" s="88"/>
      <c r="L52" s="59"/>
    </row>
    <row r="53" spans="1:12" ht="12.75" customHeight="1" x14ac:dyDescent="0.25">
      <c r="A53" s="147"/>
      <c r="B53" s="120"/>
      <c r="C53" s="146"/>
      <c r="D53" s="147"/>
      <c r="F53" s="133" t="s">
        <v>255</v>
      </c>
      <c r="G53" s="274">
        <f>G51*4</f>
        <v>70</v>
      </c>
      <c r="H53" s="137" t="s">
        <v>226</v>
      </c>
      <c r="K53" s="88"/>
      <c r="L53" s="59"/>
    </row>
    <row r="54" spans="1:12" ht="12.75" customHeight="1" x14ac:dyDescent="0.25">
      <c r="A54" s="147"/>
      <c r="B54" s="120"/>
      <c r="C54" s="146"/>
      <c r="D54" s="147"/>
      <c r="E54" s="137"/>
      <c r="F54" s="133" t="s">
        <v>256</v>
      </c>
      <c r="G54" s="274">
        <f>(0.6*((C36*1550.003/100)*0.00064516)*G52*(G53*0.621371192*1.609344/3.6)^2)*0.224808943/((B6*0.0352739619)*0.0625)</f>
        <v>15.680620143971003</v>
      </c>
      <c r="H54" s="137" t="s">
        <v>257</v>
      </c>
      <c r="K54" s="88"/>
      <c r="L54" s="59"/>
    </row>
    <row r="55" spans="1:12" ht="12.75" customHeight="1" x14ac:dyDescent="0.25">
      <c r="A55" s="147"/>
      <c r="B55" s="120"/>
      <c r="C55" s="146"/>
      <c r="D55" s="147"/>
      <c r="F55" s="137"/>
      <c r="G55" s="137"/>
      <c r="H55" s="137"/>
      <c r="K55" s="88"/>
      <c r="L55" s="59"/>
    </row>
    <row r="56" spans="1:12" ht="12.75" customHeight="1" x14ac:dyDescent="0.25">
      <c r="A56" s="147"/>
      <c r="B56" s="120"/>
      <c r="C56" s="146"/>
      <c r="D56" s="147"/>
      <c r="F56" s="137"/>
      <c r="G56" s="104" t="s">
        <v>258</v>
      </c>
      <c r="H56" s="137"/>
      <c r="K56" s="88"/>
      <c r="L56" s="59"/>
    </row>
    <row r="57" spans="1:12" x14ac:dyDescent="0.25">
      <c r="A57" s="147"/>
      <c r="B57" s="120"/>
      <c r="C57" s="146"/>
      <c r="D57" s="145"/>
      <c r="F57" s="133" t="s">
        <v>205</v>
      </c>
      <c r="G57" s="276">
        <v>1.3</v>
      </c>
      <c r="H57" s="140"/>
    </row>
    <row r="58" spans="1:12" x14ac:dyDescent="0.25">
      <c r="A58" s="102" t="s">
        <v>46</v>
      </c>
      <c r="B58" s="120"/>
      <c r="C58" s="146"/>
      <c r="D58" s="145"/>
      <c r="F58" s="133" t="s">
        <v>259</v>
      </c>
      <c r="G58" s="274">
        <f>SQRT((C37*0.327868852459*3.05)*1.635/G57)*2.23693629*1.609344</f>
        <v>17.475143821262588</v>
      </c>
      <c r="H58" s="140" t="s">
        <v>226</v>
      </c>
    </row>
    <row r="59" spans="1:12" x14ac:dyDescent="0.25">
      <c r="A59" s="295" t="s">
        <v>9</v>
      </c>
      <c r="B59" s="296"/>
      <c r="C59" s="296"/>
      <c r="D59" s="68"/>
      <c r="F59" s="133" t="s">
        <v>255</v>
      </c>
      <c r="G59" s="274">
        <f>G58*4</f>
        <v>69.900575285050351</v>
      </c>
      <c r="H59" s="139" t="s">
        <v>226</v>
      </c>
      <c r="I59" s="137"/>
    </row>
    <row r="60" spans="1:12" ht="14.25" x14ac:dyDescent="0.25">
      <c r="A60" s="149" t="s">
        <v>11</v>
      </c>
      <c r="B60" s="137"/>
      <c r="C60" s="135">
        <f>C17*(B14+D14)/2/10000</f>
        <v>26.64</v>
      </c>
      <c r="D60" s="147" t="s">
        <v>227</v>
      </c>
      <c r="E60" s="137"/>
      <c r="F60" s="133" t="s">
        <v>256</v>
      </c>
      <c r="G60" s="274">
        <f>(0.6*(C36*1550.003/100*0.00064516)*G57*(G59*0.621371192*1.609344/3.6)^2)*0.224808943/(B6*0.0352739619*0.0625)</f>
        <v>16.005464620000641</v>
      </c>
      <c r="H60" s="139" t="s">
        <v>257</v>
      </c>
      <c r="K60" s="140"/>
    </row>
    <row r="61" spans="1:12" x14ac:dyDescent="0.25">
      <c r="A61" s="149" t="s">
        <v>13</v>
      </c>
      <c r="B61" s="137"/>
      <c r="C61" s="135">
        <f>C11*(B14+2*D14)/3/(B14+D14)+(B14+D14-B14*D14/(B14+D14))/6</f>
        <v>75</v>
      </c>
      <c r="D61" s="87" t="s">
        <v>223</v>
      </c>
      <c r="G61" s="142"/>
      <c r="K61" s="140"/>
    </row>
    <row r="62" spans="1:12" x14ac:dyDescent="0.25">
      <c r="A62" s="149" t="s">
        <v>152</v>
      </c>
      <c r="B62" s="137"/>
      <c r="C62" s="135">
        <f>2/3*(B14+(D14-((B14*D14)/(B14+D14))))</f>
        <v>300</v>
      </c>
      <c r="D62" s="87" t="s">
        <v>223</v>
      </c>
      <c r="G62" s="142"/>
      <c r="K62" s="140"/>
    </row>
    <row r="63" spans="1:12" x14ac:dyDescent="0.25">
      <c r="A63" s="149" t="s">
        <v>149</v>
      </c>
      <c r="B63" s="137"/>
      <c r="C63" s="135">
        <f>(C11*(B14+2*D14))/(3*(B14+D14))</f>
        <v>0</v>
      </c>
      <c r="D63" s="87" t="s">
        <v>223</v>
      </c>
      <c r="E63" s="101"/>
      <c r="K63" s="159"/>
    </row>
    <row r="64" spans="1:12" x14ac:dyDescent="0.25">
      <c r="A64" s="149" t="s">
        <v>200</v>
      </c>
      <c r="B64" s="137"/>
      <c r="C64" s="251">
        <f>ATAN(C11/C17)*(180/(PI()))</f>
        <v>0</v>
      </c>
      <c r="D64" s="137" t="s">
        <v>201</v>
      </c>
      <c r="E64" s="101"/>
      <c r="K64" s="159"/>
    </row>
    <row r="65" spans="1:12" x14ac:dyDescent="0.25">
      <c r="A65" s="149" t="s">
        <v>150</v>
      </c>
      <c r="B65" s="149"/>
      <c r="C65" s="135">
        <f>IF(B14=D14,C17/2,(C17*(B14-C62)/(B14-D14)))</f>
        <v>444</v>
      </c>
      <c r="D65" s="87" t="s">
        <v>223</v>
      </c>
      <c r="E65" s="101"/>
      <c r="K65" s="159"/>
    </row>
    <row r="66" spans="1:12" x14ac:dyDescent="0.25">
      <c r="A66" s="149" t="s">
        <v>216</v>
      </c>
      <c r="B66" s="149"/>
      <c r="C66" s="153">
        <f>((C17)^2-('Wing Dihedral'!E14)^2)^0.5</f>
        <v>886.78325373227483</v>
      </c>
      <c r="D66" s="87" t="s">
        <v>223</v>
      </c>
      <c r="E66" s="101"/>
      <c r="G66" s="142"/>
      <c r="K66" s="59"/>
    </row>
    <row r="67" spans="1:12" ht="14.25" x14ac:dyDescent="0.25">
      <c r="A67" s="149" t="s">
        <v>217</v>
      </c>
      <c r="B67" s="137"/>
      <c r="C67" s="153">
        <f>C66*(B14+D14)/2/10000</f>
        <v>26.603497611968244</v>
      </c>
      <c r="D67" s="147" t="s">
        <v>227</v>
      </c>
      <c r="E67" s="101"/>
      <c r="G67" s="142"/>
      <c r="K67" s="59"/>
    </row>
    <row r="68" spans="1:12" x14ac:dyDescent="0.25">
      <c r="A68" s="149"/>
      <c r="B68" s="137"/>
      <c r="C68" s="135"/>
      <c r="F68" s="101"/>
      <c r="G68" s="88"/>
      <c r="H68" s="150"/>
      <c r="I68" s="151"/>
      <c r="J68" s="59"/>
      <c r="L68" s="68"/>
    </row>
    <row r="69" spans="1:12" ht="14.25" x14ac:dyDescent="0.25">
      <c r="A69" s="290" t="s">
        <v>10</v>
      </c>
      <c r="B69" s="292"/>
      <c r="C69" s="292"/>
      <c r="D69" s="68"/>
      <c r="F69" s="101"/>
      <c r="G69" s="160"/>
      <c r="H69" s="161"/>
      <c r="I69" s="151"/>
      <c r="J69" s="59"/>
      <c r="L69" s="68"/>
    </row>
    <row r="70" spans="1:12" ht="14.25" x14ac:dyDescent="0.25">
      <c r="A70" s="149" t="s">
        <v>12</v>
      </c>
      <c r="B70" s="149"/>
      <c r="C70" s="153">
        <f>IF(F17=0,"0",F17*(D14+G14)/2)/10000</f>
        <v>17.0166</v>
      </c>
      <c r="D70" s="147" t="s">
        <v>227</v>
      </c>
      <c r="G70" s="88"/>
      <c r="I70" s="151"/>
    </row>
    <row r="71" spans="1:12" x14ac:dyDescent="0.25">
      <c r="A71" s="149" t="s">
        <v>40</v>
      </c>
      <c r="B71" s="149"/>
      <c r="C71" s="153">
        <f>IF(G14=0,"0",F11*(D14+2*G14)/3/(D14+G14)+(D14+G14-D14*G14/(D14+G14))/6+C11)</f>
        <v>81.607594936708864</v>
      </c>
      <c r="D71" s="87" t="s">
        <v>223</v>
      </c>
    </row>
    <row r="72" spans="1:12" x14ac:dyDescent="0.25">
      <c r="A72" s="149" t="s">
        <v>152</v>
      </c>
      <c r="B72" s="149"/>
      <c r="C72" s="135">
        <f>2/3*(D14+(G14-((D14*G14)/(D14+G14))))</f>
        <v>242.58227848101265</v>
      </c>
      <c r="D72" s="87" t="s">
        <v>223</v>
      </c>
      <c r="E72" s="152"/>
    </row>
    <row r="73" spans="1:12" x14ac:dyDescent="0.25">
      <c r="A73" s="149" t="s">
        <v>149</v>
      </c>
      <c r="B73" s="149"/>
      <c r="C73" s="153">
        <f>IF(F11=0,0,((F11*(D14+2*G14))/(3*(D14+G14))))</f>
        <v>20.962025316455698</v>
      </c>
      <c r="D73" s="87" t="s">
        <v>223</v>
      </c>
      <c r="E73" s="101"/>
    </row>
    <row r="74" spans="1:12" x14ac:dyDescent="0.25">
      <c r="A74" s="149" t="s">
        <v>200</v>
      </c>
      <c r="B74" s="137"/>
      <c r="C74" s="251">
        <f>IF(F17=0,0,ATAN(F11/F17)*(180/(PI())))</f>
        <v>3.6657502926303756</v>
      </c>
      <c r="D74" s="137" t="s">
        <v>201</v>
      </c>
      <c r="E74" s="101"/>
      <c r="K74" s="159"/>
    </row>
    <row r="75" spans="1:12" x14ac:dyDescent="0.25">
      <c r="A75" s="149" t="s">
        <v>150</v>
      </c>
      <c r="B75" s="149"/>
      <c r="C75" s="153">
        <f>IF(D14=G14,C17+F17/2,(C17+F17*((D14-C72)/(D14-G14))))</f>
        <v>1215.1898734177216</v>
      </c>
      <c r="D75" s="137" t="s">
        <v>223</v>
      </c>
      <c r="E75" s="101"/>
      <c r="K75" s="159"/>
    </row>
    <row r="76" spans="1:12" x14ac:dyDescent="0.25">
      <c r="A76" s="149" t="s">
        <v>216</v>
      </c>
      <c r="B76" s="149"/>
      <c r="C76" s="153">
        <f>IF(F17=0,0,((F17)^2-('Wing Dihedral'!G13-'Wing Dihedral'!E14)^2)^0.5)</f>
        <v>686.62463915883473</v>
      </c>
      <c r="D76" s="87" t="s">
        <v>223</v>
      </c>
      <c r="E76" s="101"/>
      <c r="K76" s="159"/>
    </row>
    <row r="77" spans="1:12" ht="14.25" x14ac:dyDescent="0.25">
      <c r="A77" s="149" t="s">
        <v>217</v>
      </c>
      <c r="B77" s="149"/>
      <c r="C77" s="153">
        <f>IF(F17=0,"0",C76*(D14+G14)/2)/10000</f>
        <v>16.273003948064385</v>
      </c>
      <c r="D77" s="147" t="s">
        <v>227</v>
      </c>
      <c r="E77" s="68"/>
      <c r="F77" s="101"/>
      <c r="G77" s="162"/>
      <c r="H77" s="95"/>
      <c r="J77" s="101"/>
      <c r="L77" s="95"/>
    </row>
    <row r="78" spans="1:12" x14ac:dyDescent="0.25">
      <c r="A78" s="137"/>
      <c r="B78" s="137"/>
      <c r="C78" s="137"/>
      <c r="G78" s="162"/>
      <c r="H78" s="95"/>
      <c r="I78" s="137"/>
      <c r="J78" s="101"/>
      <c r="L78" s="95"/>
    </row>
    <row r="79" spans="1:12" ht="13.5" x14ac:dyDescent="0.25">
      <c r="A79" s="290" t="s">
        <v>38</v>
      </c>
      <c r="B79" s="291"/>
      <c r="C79" s="291"/>
      <c r="D79" s="68"/>
      <c r="F79" s="101"/>
      <c r="G79" s="163"/>
      <c r="H79" s="95"/>
      <c r="J79" s="101"/>
      <c r="L79" s="95"/>
    </row>
    <row r="80" spans="1:12" ht="14.25" x14ac:dyDescent="0.25">
      <c r="A80" s="149" t="s">
        <v>39</v>
      </c>
      <c r="B80" s="137"/>
      <c r="C80" s="153">
        <f>IF(H17=0,"0",H17*(G14+I14)/2)/10000</f>
        <v>1.0764</v>
      </c>
      <c r="D80" s="147" t="s">
        <v>227</v>
      </c>
      <c r="F80" s="68"/>
      <c r="G80" s="162"/>
      <c r="H80" s="68"/>
      <c r="I80" s="68"/>
      <c r="J80" s="68"/>
    </row>
    <row r="81" spans="1:13" x14ac:dyDescent="0.25">
      <c r="A81" s="149" t="s">
        <v>41</v>
      </c>
      <c r="B81" s="137"/>
      <c r="C81" s="153">
        <f>IF(I14=0,"0",H11*(G14+2*I14)/3/(G14+I14)+(G14+I14-G14*I14/(G14+I14))/6+C11+F11)</f>
        <v>108.67391304347827</v>
      </c>
      <c r="D81" s="87" t="s">
        <v>223</v>
      </c>
      <c r="E81" s="68"/>
      <c r="F81" s="68"/>
      <c r="G81" s="68"/>
      <c r="H81" s="68"/>
      <c r="I81" s="68"/>
      <c r="J81" s="68"/>
    </row>
    <row r="82" spans="1:13" x14ac:dyDescent="0.25">
      <c r="A82" s="149" t="s">
        <v>152</v>
      </c>
      <c r="B82" s="137"/>
      <c r="C82" s="153">
        <f>IF(G14=0,0,(2/3*(G14+(I14-((G14*I14)/(G14+I14))))))</f>
        <v>141.13043478260869</v>
      </c>
      <c r="D82" s="87" t="s">
        <v>223</v>
      </c>
      <c r="E82" s="68"/>
      <c r="F82" s="68"/>
      <c r="G82" s="68"/>
      <c r="H82" s="68"/>
      <c r="I82" s="68"/>
      <c r="J82" s="68"/>
    </row>
    <row r="83" spans="1:13" s="137" customFormat="1" x14ac:dyDescent="0.25">
      <c r="A83" s="149" t="s">
        <v>149</v>
      </c>
      <c r="C83" s="153">
        <f>IF(H11=0,0,((H11*(G14+2*I14))/(3*(G14+I14))))</f>
        <v>27.391304347826086</v>
      </c>
      <c r="D83" s="137" t="s">
        <v>223</v>
      </c>
      <c r="F83" s="87"/>
      <c r="G83" s="140"/>
      <c r="H83" s="68"/>
      <c r="I83" s="68"/>
      <c r="J83" s="68"/>
      <c r="K83" s="87"/>
      <c r="L83" s="87"/>
      <c r="M83" s="87"/>
    </row>
    <row r="84" spans="1:13" x14ac:dyDescent="0.25">
      <c r="A84" s="149" t="s">
        <v>200</v>
      </c>
      <c r="B84" s="137"/>
      <c r="C84" s="251">
        <f>IF(H17=0,0,ATAN(H11/H17)*(180/(PI())))</f>
        <v>37.568592028827496</v>
      </c>
      <c r="D84" s="137" t="s">
        <v>201</v>
      </c>
      <c r="E84" s="101"/>
      <c r="K84" s="159"/>
    </row>
    <row r="85" spans="1:13" x14ac:dyDescent="0.25">
      <c r="A85" s="149" t="s">
        <v>150</v>
      </c>
      <c r="B85" s="137"/>
      <c r="C85" s="153">
        <f>IF(G14=I14,C17+F17+H17/2,(C17+F17+H17*((G14-C82)/(G14-I14))))</f>
        <v>1641.608695652174</v>
      </c>
      <c r="D85" s="137" t="s">
        <v>223</v>
      </c>
      <c r="E85" s="101"/>
      <c r="K85" s="159"/>
    </row>
    <row r="86" spans="1:13" x14ac:dyDescent="0.25">
      <c r="A86" s="149" t="s">
        <v>216</v>
      </c>
      <c r="B86" s="137"/>
      <c r="C86" s="153">
        <f>IF(Wing!H17=0,0,((Wing!H17)^2-('Wing Dihedral'!H12-'Wing Dihedral'!G13)^2)^0.5)</f>
        <v>74.593297286016252</v>
      </c>
      <c r="D86" s="137" t="s">
        <v>223</v>
      </c>
      <c r="E86" s="101"/>
      <c r="K86" s="159"/>
    </row>
    <row r="87" spans="1:13" ht="14.25" x14ac:dyDescent="0.25">
      <c r="A87" s="149" t="s">
        <v>217</v>
      </c>
      <c r="B87" s="137"/>
      <c r="C87" s="153">
        <f>IF(H17=0,"0",C86*(G14+I14)/2)/10000</f>
        <v>1.0293875025470243</v>
      </c>
      <c r="D87" s="147" t="s">
        <v>227</v>
      </c>
      <c r="G87" s="140"/>
      <c r="H87" s="68"/>
      <c r="I87" s="68"/>
      <c r="J87" s="68"/>
    </row>
    <row r="88" spans="1:13" x14ac:dyDescent="0.25">
      <c r="A88" s="137"/>
      <c r="B88" s="137"/>
      <c r="C88" s="137"/>
      <c r="F88" s="137"/>
      <c r="G88" s="140"/>
      <c r="H88" s="137"/>
      <c r="I88" s="132"/>
      <c r="J88" s="132"/>
      <c r="K88" s="137"/>
      <c r="L88" s="137"/>
      <c r="M88" s="137"/>
    </row>
    <row r="89" spans="1:13" x14ac:dyDescent="0.25">
      <c r="A89" s="290" t="s">
        <v>120</v>
      </c>
      <c r="B89" s="291"/>
      <c r="C89" s="291"/>
      <c r="D89" s="68"/>
    </row>
    <row r="90" spans="1:13" ht="14.25" x14ac:dyDescent="0.25">
      <c r="A90" s="149" t="s">
        <v>121</v>
      </c>
      <c r="B90" s="137"/>
      <c r="C90" s="153">
        <f>IF(J17=0,"0",J17*(I14+K15)/2)/10000</f>
        <v>0.10199999999999999</v>
      </c>
      <c r="D90" s="147" t="s">
        <v>227</v>
      </c>
      <c r="E90" s="68"/>
    </row>
    <row r="91" spans="1:13" x14ac:dyDescent="0.25">
      <c r="A91" s="149" t="s">
        <v>41</v>
      </c>
      <c r="B91" s="137"/>
      <c r="C91" s="153" t="str">
        <f>IF(K15=0,"0",J12*(I14+2*K15)/3/(I14+K15)+(I14+K15-I14*K15/(I14+K15))/6+C11+F11+H11)</f>
        <v>0</v>
      </c>
      <c r="D91" s="87" t="s">
        <v>223</v>
      </c>
      <c r="E91" s="68"/>
    </row>
    <row r="92" spans="1:13" s="137" customFormat="1" x14ac:dyDescent="0.25">
      <c r="A92" s="149" t="s">
        <v>152</v>
      </c>
      <c r="C92" s="153">
        <f>IF(I14=0,0,(2/3*(I14+(K15-((I14*K15)/(I14+K15))))))</f>
        <v>68</v>
      </c>
      <c r="D92" s="87" t="s">
        <v>223</v>
      </c>
      <c r="E92" s="140"/>
      <c r="F92" s="87"/>
      <c r="G92" s="87"/>
      <c r="H92" s="87"/>
      <c r="I92" s="87"/>
      <c r="J92" s="87"/>
      <c r="K92" s="87"/>
      <c r="L92" s="87"/>
      <c r="M92" s="87"/>
    </row>
    <row r="93" spans="1:13" s="137" customFormat="1" ht="12.75" customHeight="1" x14ac:dyDescent="0.25">
      <c r="A93" s="149" t="s">
        <v>149</v>
      </c>
      <c r="C93" s="153">
        <f>IF(J12=0,0,((J12*(I14+2*K15))/(3*(I14+K15))))</f>
        <v>26.666666666666668</v>
      </c>
      <c r="D93" s="87" t="s">
        <v>223</v>
      </c>
      <c r="E93" s="154"/>
      <c r="F93" s="87"/>
      <c r="G93" s="87"/>
      <c r="H93" s="87"/>
      <c r="I93" s="87"/>
      <c r="J93" s="87"/>
      <c r="K93" s="87"/>
      <c r="L93" s="87"/>
      <c r="M93" s="87"/>
    </row>
    <row r="94" spans="1:13" x14ac:dyDescent="0.25">
      <c r="A94" s="149" t="s">
        <v>200</v>
      </c>
      <c r="B94" s="137"/>
      <c r="C94" s="237">
        <f>IF(J17=0,0,ATAN(J12/J17)*(180/(PI())))</f>
        <v>75.963756532073532</v>
      </c>
      <c r="D94" s="137" t="s">
        <v>201</v>
      </c>
      <c r="E94" s="101"/>
      <c r="K94" s="159"/>
    </row>
    <row r="95" spans="1:13" x14ac:dyDescent="0.25">
      <c r="A95" s="149" t="s">
        <v>150</v>
      </c>
      <c r="B95" s="137"/>
      <c r="C95" s="135">
        <f>IF(I14=K15,C17+F17+H17+J17/2,(C17+F17+H17+J17*((I14-C92)/(I14-K15))))</f>
        <v>1690.6666666666667</v>
      </c>
      <c r="D95" s="137" t="s">
        <v>223</v>
      </c>
      <c r="F95" s="137"/>
      <c r="G95" s="137"/>
      <c r="H95" s="137"/>
      <c r="I95" s="137"/>
      <c r="J95" s="137"/>
      <c r="K95" s="137"/>
      <c r="L95" s="137"/>
      <c r="M95" s="137"/>
    </row>
    <row r="96" spans="1:13" x14ac:dyDescent="0.25">
      <c r="A96" s="149" t="s">
        <v>216</v>
      </c>
      <c r="B96" s="137"/>
      <c r="C96" s="153">
        <f>IF(J17=0,0,((J17)^2-('Wing Dihedral'!I11-'Wing Dihedral'!H12)^2)^0.5)</f>
        <v>18.793999042247489</v>
      </c>
      <c r="D96" s="137" t="s">
        <v>223</v>
      </c>
      <c r="F96" s="137"/>
      <c r="G96" s="137"/>
      <c r="H96" s="137"/>
      <c r="I96" s="137"/>
      <c r="J96" s="137"/>
      <c r="K96" s="137"/>
      <c r="L96" s="137"/>
      <c r="M96" s="137"/>
    </row>
    <row r="97" spans="1:13" ht="14.25" x14ac:dyDescent="0.25">
      <c r="A97" s="149" t="s">
        <v>217</v>
      </c>
      <c r="C97" s="153">
        <f>IF(J17=0,"0",C96*(I14+K15)/2)/10000</f>
        <v>9.5849395115462185E-2</v>
      </c>
      <c r="D97" s="147" t="s">
        <v>227</v>
      </c>
    </row>
    <row r="101" spans="1:13" s="137" customFormat="1" x14ac:dyDescent="0.25">
      <c r="A101" s="87"/>
      <c r="B101" s="87"/>
      <c r="C101" s="87"/>
      <c r="D101" s="87"/>
      <c r="F101" s="87"/>
      <c r="G101" s="87"/>
      <c r="H101" s="87"/>
      <c r="I101" s="87"/>
      <c r="J101" s="87"/>
      <c r="K101" s="87"/>
      <c r="L101" s="87"/>
      <c r="M101" s="87"/>
    </row>
    <row r="103" spans="1:13" x14ac:dyDescent="0.25">
      <c r="F103" s="137"/>
      <c r="G103" s="137"/>
      <c r="H103" s="137"/>
      <c r="I103" s="137"/>
      <c r="J103" s="137"/>
      <c r="K103" s="137"/>
      <c r="L103" s="137"/>
      <c r="M103" s="137"/>
    </row>
  </sheetData>
  <sheetProtection sheet="1"/>
  <mergeCells count="8">
    <mergeCell ref="L45:M45"/>
    <mergeCell ref="A89:C89"/>
    <mergeCell ref="A69:C69"/>
    <mergeCell ref="B20:C20"/>
    <mergeCell ref="A79:C79"/>
    <mergeCell ref="B24:C24"/>
    <mergeCell ref="A59:C59"/>
    <mergeCell ref="A34:C34"/>
  </mergeCells>
  <phoneticPr fontId="0" type="noConversion"/>
  <printOptions horizontalCentered="1" gridLinesSet="0"/>
  <pageMargins left="0.33" right="0.33" top="0.25" bottom="0.22" header="0.17" footer="0.17"/>
  <pageSetup scale="77"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8:AH76"/>
  <sheetViews>
    <sheetView showGridLines="0" zoomScaleNormal="100" workbookViewId="0">
      <selection activeCell="D20" sqref="D20"/>
    </sheetView>
  </sheetViews>
  <sheetFormatPr defaultColWidth="10.625" defaultRowHeight="12.75" x14ac:dyDescent="0.2"/>
  <cols>
    <col min="1" max="1" width="3.5" style="5" customWidth="1"/>
    <col min="2" max="2" width="11" style="5" customWidth="1"/>
    <col min="3" max="3" width="15" style="5" customWidth="1"/>
    <col min="4" max="4" width="11.375" style="5" customWidth="1"/>
    <col min="5" max="5" width="10.625" style="5" customWidth="1"/>
    <col min="6" max="7" width="10.625" style="14" customWidth="1"/>
    <col min="8" max="9" width="10.625" style="5" customWidth="1"/>
    <col min="10" max="10" width="10.625" style="5"/>
    <col min="11" max="34" width="10.625" style="14"/>
    <col min="35" max="16384" width="10.625" style="5"/>
  </cols>
  <sheetData>
    <row r="8" spans="1:34" ht="16.5" customHeight="1" x14ac:dyDescent="0.35">
      <c r="A8" s="12"/>
      <c r="E8" s="23"/>
      <c r="F8" s="4"/>
    </row>
    <row r="9" spans="1:34" ht="12.75" customHeight="1" x14ac:dyDescent="0.25">
      <c r="B9" s="14"/>
      <c r="D9" s="14"/>
      <c r="E9" s="14"/>
      <c r="G9" s="24"/>
      <c r="I9" s="14"/>
      <c r="J9" s="14"/>
      <c r="Z9" s="5"/>
      <c r="AA9" s="5"/>
      <c r="AB9" s="5"/>
      <c r="AC9" s="5"/>
      <c r="AD9" s="5"/>
      <c r="AE9" s="5"/>
      <c r="AF9" s="5"/>
      <c r="AG9" s="5"/>
      <c r="AH9" s="5"/>
    </row>
    <row r="10" spans="1:34" ht="12.75" customHeight="1" x14ac:dyDescent="0.2">
      <c r="B10" s="14"/>
      <c r="C10" s="16" t="s">
        <v>0</v>
      </c>
      <c r="D10" s="14"/>
      <c r="E10" s="14"/>
      <c r="H10" s="14"/>
      <c r="I10" s="14"/>
      <c r="J10" s="14"/>
      <c r="Z10" s="5"/>
      <c r="AA10" s="5"/>
      <c r="AB10" s="5"/>
      <c r="AC10" s="5"/>
      <c r="AD10" s="5"/>
      <c r="AE10" s="5"/>
      <c r="AF10" s="5"/>
      <c r="AG10" s="5"/>
      <c r="AH10" s="5"/>
    </row>
    <row r="11" spans="1:34" ht="12.75" customHeight="1" x14ac:dyDescent="0.2">
      <c r="B11" s="25"/>
      <c r="C11" s="48">
        <v>76</v>
      </c>
      <c r="D11" s="26"/>
      <c r="E11" s="14"/>
      <c r="H11" s="14"/>
      <c r="I11" s="14"/>
      <c r="J11" s="14"/>
      <c r="Z11" s="5"/>
      <c r="AA11" s="5"/>
      <c r="AB11" s="5"/>
      <c r="AC11" s="5"/>
      <c r="AD11" s="5"/>
      <c r="AE11" s="5"/>
      <c r="AF11" s="5"/>
      <c r="AG11" s="5"/>
      <c r="AH11" s="5"/>
    </row>
    <row r="12" spans="1:34" ht="12.75" customHeight="1" x14ac:dyDescent="0.2">
      <c r="B12" s="27"/>
      <c r="C12" s="26"/>
      <c r="D12" s="26"/>
      <c r="H12" s="14" t="s">
        <v>1</v>
      </c>
      <c r="I12" s="14" t="s">
        <v>2</v>
      </c>
      <c r="J12" s="14"/>
      <c r="Z12" s="5"/>
      <c r="AA12" s="5"/>
      <c r="AB12" s="5"/>
      <c r="AC12" s="5"/>
      <c r="AD12" s="5"/>
      <c r="AE12" s="5"/>
      <c r="AF12" s="5"/>
      <c r="AG12" s="5"/>
      <c r="AH12" s="5"/>
    </row>
    <row r="13" spans="1:34" ht="12.75" customHeight="1" x14ac:dyDescent="0.2">
      <c r="B13" s="28" t="s">
        <v>3</v>
      </c>
      <c r="C13" s="26"/>
      <c r="D13" s="26"/>
      <c r="E13" s="16" t="s">
        <v>5</v>
      </c>
      <c r="H13" s="14">
        <v>0</v>
      </c>
      <c r="I13" s="14">
        <v>0</v>
      </c>
      <c r="J13" s="14"/>
      <c r="Z13" s="5"/>
      <c r="AA13" s="5"/>
      <c r="AB13" s="5"/>
      <c r="AC13" s="5"/>
      <c r="AD13" s="5"/>
      <c r="AE13" s="5"/>
      <c r="AF13" s="5"/>
      <c r="AG13" s="5"/>
      <c r="AH13" s="5"/>
    </row>
    <row r="14" spans="1:34" ht="12.75" customHeight="1" x14ac:dyDescent="0.2">
      <c r="B14" s="49">
        <v>187</v>
      </c>
      <c r="C14" s="26"/>
      <c r="D14" s="26"/>
      <c r="E14" s="48">
        <v>87</v>
      </c>
      <c r="H14" s="14">
        <v>0</v>
      </c>
      <c r="I14" s="14">
        <f>B14</f>
        <v>187</v>
      </c>
      <c r="J14" s="14"/>
      <c r="Z14" s="5"/>
      <c r="AA14" s="5"/>
      <c r="AB14" s="5"/>
      <c r="AC14" s="5"/>
      <c r="AD14" s="5"/>
      <c r="AE14" s="5"/>
      <c r="AF14" s="5"/>
      <c r="AG14" s="5"/>
      <c r="AH14" s="5"/>
    </row>
    <row r="15" spans="1:34" x14ac:dyDescent="0.2">
      <c r="B15" s="29"/>
      <c r="C15" s="17"/>
      <c r="D15" s="30"/>
      <c r="E15" s="14"/>
      <c r="H15" s="14">
        <f>C17</f>
        <v>353</v>
      </c>
      <c r="I15" s="14">
        <f>B14-C11</f>
        <v>111</v>
      </c>
      <c r="J15" s="14"/>
      <c r="Z15" s="5"/>
      <c r="AA15" s="5"/>
      <c r="AB15" s="5"/>
      <c r="AC15" s="5"/>
      <c r="AD15" s="5"/>
      <c r="AE15" s="5"/>
      <c r="AF15" s="5"/>
      <c r="AG15" s="5"/>
      <c r="AH15" s="5"/>
    </row>
    <row r="16" spans="1:34" x14ac:dyDescent="0.2">
      <c r="B16" s="14"/>
      <c r="C16" s="15" t="s">
        <v>28</v>
      </c>
      <c r="D16" s="14"/>
      <c r="E16" s="14"/>
      <c r="H16" s="14">
        <f>C17</f>
        <v>353</v>
      </c>
      <c r="I16" s="14">
        <f>I15-E14</f>
        <v>24</v>
      </c>
      <c r="J16" s="14"/>
      <c r="Z16" s="5"/>
      <c r="AA16" s="5"/>
      <c r="AB16" s="5"/>
      <c r="AC16" s="5"/>
      <c r="AD16" s="5"/>
      <c r="AE16" s="5"/>
      <c r="AF16" s="5"/>
      <c r="AG16" s="5"/>
      <c r="AH16" s="5"/>
    </row>
    <row r="17" spans="2:34" x14ac:dyDescent="0.2">
      <c r="B17" s="14"/>
      <c r="C17" s="47">
        <v>353</v>
      </c>
      <c r="D17" s="14"/>
      <c r="E17" s="14"/>
      <c r="H17" s="14">
        <v>0</v>
      </c>
      <c r="I17" s="14">
        <v>0</v>
      </c>
      <c r="J17" s="14"/>
      <c r="Z17" s="5"/>
      <c r="AA17" s="5"/>
      <c r="AB17" s="5"/>
      <c r="AC17" s="5"/>
      <c r="AD17" s="5"/>
      <c r="AE17" s="5"/>
      <c r="AF17" s="5"/>
      <c r="AG17" s="5"/>
      <c r="AH17" s="5"/>
    </row>
    <row r="18" spans="2:34" x14ac:dyDescent="0.2">
      <c r="B18" s="14"/>
      <c r="C18" s="14"/>
      <c r="D18" s="14"/>
      <c r="E18" s="14"/>
      <c r="H18" s="14"/>
      <c r="I18" s="14"/>
      <c r="J18" s="14"/>
      <c r="Z18" s="5"/>
      <c r="AA18" s="5"/>
      <c r="AB18" s="5"/>
      <c r="AC18" s="5"/>
      <c r="AD18" s="5"/>
      <c r="AE18" s="5"/>
      <c r="AF18" s="5"/>
      <c r="AG18" s="5"/>
      <c r="AH18" s="5"/>
    </row>
    <row r="19" spans="2:34" x14ac:dyDescent="0.2">
      <c r="B19" s="14"/>
      <c r="C19" s="14"/>
      <c r="D19" s="14"/>
      <c r="E19" s="14"/>
      <c r="H19" s="14">
        <v>0</v>
      </c>
      <c r="I19" s="14">
        <f>B14-D33</f>
        <v>117.85218978102191</v>
      </c>
      <c r="J19" s="14"/>
      <c r="Z19" s="5"/>
      <c r="AA19" s="5"/>
      <c r="AB19" s="5"/>
      <c r="AC19" s="5"/>
      <c r="AD19" s="5"/>
      <c r="AE19" s="5"/>
      <c r="AF19" s="5"/>
      <c r="AG19" s="5"/>
      <c r="AH19" s="5"/>
    </row>
    <row r="20" spans="2:34" x14ac:dyDescent="0.2">
      <c r="B20" s="14"/>
      <c r="C20" s="14"/>
      <c r="D20" s="14"/>
      <c r="E20" s="14"/>
      <c r="H20" s="14"/>
      <c r="I20" s="14"/>
      <c r="J20" s="14"/>
      <c r="Z20" s="5"/>
      <c r="AA20" s="5"/>
      <c r="AB20" s="5"/>
      <c r="AC20" s="5"/>
      <c r="AD20" s="5"/>
      <c r="AE20" s="5"/>
      <c r="AF20" s="5"/>
      <c r="AG20" s="5"/>
      <c r="AH20" s="5"/>
    </row>
    <row r="21" spans="2:34" x14ac:dyDescent="0.2">
      <c r="B21" s="14"/>
      <c r="C21" s="14"/>
      <c r="D21" s="14"/>
      <c r="E21" s="14"/>
      <c r="F21" s="31" t="s">
        <v>147</v>
      </c>
      <c r="H21" s="14"/>
      <c r="I21" s="14"/>
      <c r="J21" s="14"/>
      <c r="Z21" s="5"/>
      <c r="AA21" s="5"/>
      <c r="AB21" s="5"/>
      <c r="AC21" s="5"/>
      <c r="AD21" s="5"/>
      <c r="AE21" s="5"/>
      <c r="AF21" s="5"/>
      <c r="AG21" s="5"/>
      <c r="AH21" s="5"/>
    </row>
    <row r="22" spans="2:34" ht="15.75" x14ac:dyDescent="0.25">
      <c r="B22" s="44" t="s">
        <v>64</v>
      </c>
      <c r="C22" s="51"/>
      <c r="D22" s="51"/>
      <c r="E22" s="51"/>
      <c r="F22" s="31"/>
      <c r="H22" s="14"/>
      <c r="I22" s="14"/>
      <c r="J22" s="14"/>
      <c r="Z22" s="5"/>
      <c r="AA22" s="5"/>
      <c r="AB22" s="5"/>
      <c r="AC22" s="5"/>
      <c r="AD22" s="5"/>
      <c r="AE22" s="5"/>
      <c r="AF22" s="5"/>
      <c r="AG22" s="5"/>
      <c r="AH22" s="5"/>
    </row>
    <row r="23" spans="2:34" x14ac:dyDescent="0.2">
      <c r="B23" s="1" t="s">
        <v>14</v>
      </c>
      <c r="D23" s="252">
        <f>2*C17</f>
        <v>706</v>
      </c>
      <c r="E23" s="1" t="s">
        <v>223</v>
      </c>
      <c r="F23" s="31"/>
      <c r="H23" s="14"/>
      <c r="I23" s="14"/>
      <c r="J23" s="14"/>
      <c r="Z23" s="5"/>
      <c r="AA23" s="5"/>
      <c r="AB23" s="5"/>
      <c r="AC23" s="5"/>
      <c r="AD23" s="5"/>
      <c r="AE23" s="5"/>
      <c r="AF23" s="5"/>
      <c r="AG23" s="5"/>
      <c r="AH23" s="5"/>
    </row>
    <row r="24" spans="2:34" ht="14.25" x14ac:dyDescent="0.2">
      <c r="B24" s="1" t="s">
        <v>15</v>
      </c>
      <c r="D24" s="252">
        <f>D23*D25/10000</f>
        <v>9.6722000000000001</v>
      </c>
      <c r="E24" s="147" t="s">
        <v>227</v>
      </c>
      <c r="F24" s="31"/>
      <c r="H24" s="14"/>
      <c r="I24" s="14"/>
      <c r="J24" s="14"/>
      <c r="Z24" s="5"/>
      <c r="AA24" s="5"/>
      <c r="AB24" s="5"/>
      <c r="AC24" s="5"/>
      <c r="AD24" s="5"/>
      <c r="AE24" s="5"/>
      <c r="AF24" s="5"/>
      <c r="AG24" s="5"/>
      <c r="AH24" s="5"/>
    </row>
    <row r="25" spans="2:34" x14ac:dyDescent="0.2">
      <c r="B25" s="1" t="s">
        <v>17</v>
      </c>
      <c r="D25" s="252">
        <f>IF(C17=0,0,D32/C17)*10000</f>
        <v>137</v>
      </c>
      <c r="E25" s="1" t="s">
        <v>223</v>
      </c>
      <c r="F25" s="31"/>
      <c r="H25" s="14"/>
      <c r="I25" s="14"/>
      <c r="J25" s="14"/>
      <c r="Z25" s="5"/>
      <c r="AA25" s="5"/>
      <c r="AB25" s="5"/>
      <c r="AC25" s="5"/>
      <c r="AD25" s="5"/>
      <c r="AE25" s="5"/>
      <c r="AF25" s="5"/>
      <c r="AG25" s="5"/>
      <c r="AH25" s="5"/>
    </row>
    <row r="26" spans="2:34" x14ac:dyDescent="0.2">
      <c r="B26" s="263" t="s">
        <v>153</v>
      </c>
      <c r="D26" s="252">
        <f>2/3*(B14+(E14-((B14*E14)/(B14+E14))))</f>
        <v>143.08272506082724</v>
      </c>
      <c r="E26" s="263" t="s">
        <v>223</v>
      </c>
      <c r="F26" s="31"/>
      <c r="H26" s="14"/>
      <c r="I26" s="14"/>
      <c r="J26" s="14"/>
      <c r="Z26" s="5"/>
      <c r="AA26" s="5"/>
      <c r="AB26" s="5"/>
      <c r="AC26" s="5"/>
      <c r="AD26" s="5"/>
      <c r="AE26" s="5"/>
      <c r="AF26" s="5"/>
      <c r="AG26" s="5"/>
      <c r="AH26" s="5"/>
    </row>
    <row r="27" spans="2:34" x14ac:dyDescent="0.2">
      <c r="B27" s="262" t="s">
        <v>221</v>
      </c>
      <c r="D27" s="253">
        <f>IF(C17=0,0,D23/D25)</f>
        <v>5.1532846715328464</v>
      </c>
      <c r="E27" s="46"/>
      <c r="F27" s="31"/>
      <c r="H27" s="14"/>
      <c r="I27" s="14"/>
      <c r="J27" s="14"/>
      <c r="Z27" s="5"/>
      <c r="AA27" s="5"/>
      <c r="AB27" s="5"/>
      <c r="AC27" s="5"/>
      <c r="AD27" s="5"/>
      <c r="AE27" s="5"/>
      <c r="AF27" s="5"/>
      <c r="AG27" s="5"/>
      <c r="AH27" s="5"/>
    </row>
    <row r="28" spans="2:34" x14ac:dyDescent="0.2">
      <c r="B28" s="262" t="s">
        <v>242</v>
      </c>
      <c r="D28" s="253">
        <f>2*D25/B14-1</f>
        <v>0.46524064171123003</v>
      </c>
      <c r="E28" s="46"/>
      <c r="F28" s="31"/>
      <c r="H28" s="14"/>
      <c r="I28" s="14"/>
      <c r="J28" s="14"/>
      <c r="Z28" s="5"/>
      <c r="AA28" s="5"/>
      <c r="AB28" s="5"/>
      <c r="AC28" s="5"/>
      <c r="AD28" s="5"/>
      <c r="AE28" s="5"/>
      <c r="AF28" s="5"/>
      <c r="AG28" s="5"/>
      <c r="AH28" s="5"/>
    </row>
    <row r="29" spans="2:34" x14ac:dyDescent="0.2">
      <c r="B29" s="262" t="s">
        <v>243</v>
      </c>
      <c r="D29" s="253">
        <f>D24/Wing!C36*100</f>
        <v>10.786439165830268</v>
      </c>
      <c r="E29" s="46"/>
      <c r="F29" s="31"/>
      <c r="H29" s="14"/>
      <c r="I29" s="14"/>
      <c r="J29" s="14"/>
      <c r="Z29" s="5"/>
      <c r="AA29" s="5"/>
      <c r="AB29" s="5"/>
      <c r="AC29" s="5"/>
      <c r="AD29" s="5"/>
      <c r="AE29" s="5"/>
      <c r="AF29" s="5"/>
      <c r="AG29" s="5"/>
      <c r="AH29" s="5"/>
    </row>
    <row r="30" spans="2:34" x14ac:dyDescent="0.2">
      <c r="B30" s="11"/>
      <c r="D30" s="253"/>
      <c r="E30" s="10"/>
      <c r="F30" s="31"/>
      <c r="H30" s="14"/>
      <c r="I30" s="14"/>
      <c r="J30" s="14"/>
      <c r="Z30" s="5"/>
      <c r="AA30" s="5"/>
      <c r="AB30" s="5"/>
      <c r="AC30" s="5"/>
      <c r="AD30" s="5"/>
      <c r="AE30" s="5"/>
      <c r="AF30" s="5"/>
      <c r="AG30" s="5"/>
      <c r="AH30" s="5"/>
    </row>
    <row r="31" spans="2:34" x14ac:dyDescent="0.2">
      <c r="B31" s="33" t="s">
        <v>65</v>
      </c>
      <c r="D31" s="254"/>
      <c r="F31" s="31"/>
      <c r="H31" s="14"/>
      <c r="I31" s="14"/>
      <c r="J31" s="14"/>
      <c r="Z31" s="5"/>
      <c r="AA31" s="5"/>
      <c r="AB31" s="5"/>
      <c r="AC31" s="5"/>
      <c r="AD31" s="5"/>
      <c r="AE31" s="5"/>
      <c r="AF31" s="5"/>
      <c r="AG31" s="5"/>
      <c r="AH31" s="5"/>
    </row>
    <row r="32" spans="2:34" ht="14.25" x14ac:dyDescent="0.2">
      <c r="B32" s="1" t="s">
        <v>11</v>
      </c>
      <c r="D32" s="252">
        <f>C17*(B14+E14)/2/10000</f>
        <v>4.8361000000000001</v>
      </c>
      <c r="E32" s="147" t="s">
        <v>227</v>
      </c>
      <c r="F32" s="31"/>
      <c r="H32" s="14"/>
      <c r="I32" s="14"/>
      <c r="J32" s="14"/>
      <c r="Z32" s="5"/>
      <c r="AA32" s="5"/>
      <c r="AB32" s="5"/>
      <c r="AC32" s="5"/>
      <c r="AD32" s="5"/>
      <c r="AE32" s="5"/>
      <c r="AF32" s="5"/>
      <c r="AG32" s="5"/>
      <c r="AH32" s="5"/>
    </row>
    <row r="33" spans="1:34" x14ac:dyDescent="0.2">
      <c r="B33" s="1" t="s">
        <v>13</v>
      </c>
      <c r="D33" s="252">
        <f>IF(C17=0,0,(C11*(B14+2*E14)/3/(B14+E14)+(B14+E14-B14*E14/(B14+E14))/6))</f>
        <v>69.147810218978094</v>
      </c>
      <c r="E33" s="2" t="s">
        <v>223</v>
      </c>
      <c r="F33" s="31"/>
      <c r="H33" s="14"/>
      <c r="I33" s="14"/>
      <c r="J33" s="14"/>
      <c r="Z33" s="5"/>
      <c r="AA33" s="5"/>
      <c r="AB33" s="5"/>
      <c r="AC33" s="5"/>
      <c r="AD33" s="5"/>
      <c r="AE33" s="5"/>
      <c r="AF33" s="5"/>
      <c r="AG33" s="5"/>
      <c r="AH33" s="5"/>
    </row>
    <row r="34" spans="1:34" x14ac:dyDescent="0.2">
      <c r="B34" s="1" t="s">
        <v>18</v>
      </c>
      <c r="D34" s="252">
        <f>IF(C17=0,0,D32*D33/D24*2-D26*0.25)</f>
        <v>33.377128953771283</v>
      </c>
      <c r="E34" s="2" t="s">
        <v>223</v>
      </c>
      <c r="F34" s="31"/>
      <c r="H34" s="14"/>
      <c r="I34" s="14"/>
      <c r="J34" s="14"/>
      <c r="Z34" s="5"/>
      <c r="AA34" s="5"/>
      <c r="AB34" s="5"/>
      <c r="AC34" s="5"/>
      <c r="AD34" s="5"/>
      <c r="AE34" s="5"/>
      <c r="AF34" s="5"/>
      <c r="AG34" s="5"/>
      <c r="AH34" s="5"/>
    </row>
    <row r="35" spans="1:34" x14ac:dyDescent="0.2">
      <c r="B35" s="5" t="s">
        <v>19</v>
      </c>
      <c r="C35" s="2"/>
      <c r="D35" s="252">
        <f>D34+D26*0.25</f>
        <v>69.147810218978094</v>
      </c>
      <c r="E35" s="5" t="s">
        <v>223</v>
      </c>
      <c r="H35" s="14"/>
      <c r="I35" s="14"/>
      <c r="J35" s="14"/>
      <c r="Z35" s="5"/>
      <c r="AA35" s="5"/>
      <c r="AB35" s="5"/>
      <c r="AC35" s="5"/>
      <c r="AD35" s="5"/>
      <c r="AE35" s="5"/>
      <c r="AF35" s="5"/>
      <c r="AG35" s="5"/>
      <c r="AH35" s="5"/>
    </row>
    <row r="36" spans="1:34" ht="13.5" x14ac:dyDescent="0.25">
      <c r="B36" s="149" t="s">
        <v>244</v>
      </c>
      <c r="C36" s="87"/>
      <c r="D36" s="251">
        <f>IF(C17=0,0,ATAN(C11/C17)*(180/(PI())))</f>
        <v>12.15016883876244</v>
      </c>
      <c r="E36" s="137" t="s">
        <v>201</v>
      </c>
      <c r="G36" s="9"/>
      <c r="H36" s="32"/>
      <c r="I36" s="8"/>
      <c r="J36" s="18"/>
    </row>
    <row r="37" spans="1:34" ht="13.5" x14ac:dyDescent="0.25">
      <c r="D37" s="255"/>
      <c r="E37" s="2"/>
      <c r="G37" s="9"/>
      <c r="H37" s="32"/>
      <c r="I37" s="8"/>
      <c r="J37" s="18"/>
    </row>
    <row r="38" spans="1:34" ht="14.25" x14ac:dyDescent="0.3">
      <c r="E38" s="2"/>
      <c r="F38" s="6"/>
      <c r="G38" s="9"/>
      <c r="H38" s="32"/>
      <c r="I38" s="8"/>
      <c r="J38" s="18"/>
    </row>
    <row r="39" spans="1:34" s="6" customFormat="1" ht="14.25" x14ac:dyDescent="0.3">
      <c r="A39" s="5"/>
      <c r="B39" s="5"/>
      <c r="C39" s="5"/>
      <c r="D39" s="5"/>
      <c r="E39" s="2"/>
    </row>
    <row r="40" spans="1:34" s="6" customFormat="1" ht="15" customHeight="1" x14ac:dyDescent="0.3"/>
    <row r="41" spans="1:34" s="6" customFormat="1" ht="15" customHeight="1" x14ac:dyDescent="0.3"/>
    <row r="42" spans="1:34" s="6" customFormat="1" ht="15" customHeight="1" x14ac:dyDescent="0.3"/>
    <row r="43" spans="1:34" s="6" customFormat="1" ht="15" customHeight="1" x14ac:dyDescent="0.3"/>
    <row r="44" spans="1:34" s="6" customFormat="1" ht="15" customHeight="1" x14ac:dyDescent="0.3"/>
    <row r="45" spans="1:34" s="6" customFormat="1" ht="15" customHeight="1" x14ac:dyDescent="0.3"/>
    <row r="46" spans="1:34" s="6" customFormat="1" ht="15" customHeight="1" x14ac:dyDescent="0.3"/>
    <row r="47" spans="1:34" s="6" customFormat="1" ht="15" customHeight="1" x14ac:dyDescent="0.3"/>
    <row r="48" spans="1:34" s="6" customFormat="1" ht="15" customHeight="1" x14ac:dyDescent="0.3"/>
    <row r="49" spans="9:9" s="6" customFormat="1" ht="15" customHeight="1" x14ac:dyDescent="0.3"/>
    <row r="50" spans="9:9" s="6" customFormat="1" ht="15" customHeight="1" x14ac:dyDescent="0.3"/>
    <row r="51" spans="9:9" s="6" customFormat="1" ht="15" customHeight="1" x14ac:dyDescent="0.3"/>
    <row r="52" spans="9:9" s="6" customFormat="1" ht="15" customHeight="1" x14ac:dyDescent="0.3"/>
    <row r="53" spans="9:9" s="6" customFormat="1" ht="15" customHeight="1" x14ac:dyDescent="0.3"/>
    <row r="54" spans="9:9" s="6" customFormat="1" ht="15" customHeight="1" x14ac:dyDescent="0.3"/>
    <row r="55" spans="9:9" s="6" customFormat="1" ht="15" customHeight="1" x14ac:dyDescent="0.3"/>
    <row r="56" spans="9:9" s="6" customFormat="1" ht="15" customHeight="1" x14ac:dyDescent="0.3"/>
    <row r="57" spans="9:9" s="6" customFormat="1" ht="19.5" customHeight="1" x14ac:dyDescent="0.3"/>
    <row r="58" spans="9:9" s="6" customFormat="1" ht="19.5" customHeight="1" x14ac:dyDescent="0.3"/>
    <row r="59" spans="9:9" s="6" customFormat="1" ht="15" customHeight="1" x14ac:dyDescent="0.3"/>
    <row r="60" spans="9:9" s="6" customFormat="1" ht="15" customHeight="1" x14ac:dyDescent="0.3">
      <c r="I60" s="34"/>
    </row>
    <row r="61" spans="9:9" s="6" customFormat="1" ht="15" customHeight="1" x14ac:dyDescent="0.3"/>
    <row r="62" spans="9:9" s="6" customFormat="1" ht="15" customHeight="1" x14ac:dyDescent="0.3">
      <c r="I62" s="7"/>
    </row>
    <row r="63" spans="9:9" s="6" customFormat="1" ht="15" customHeight="1" x14ac:dyDescent="0.3"/>
    <row r="64" spans="9:9" s="6" customFormat="1" ht="15" customHeight="1" x14ac:dyDescent="0.3"/>
    <row r="65" spans="1:15" s="6" customFormat="1" ht="15" customHeight="1" x14ac:dyDescent="0.3"/>
    <row r="66" spans="1:15" s="6" customFormat="1" ht="15" customHeight="1" x14ac:dyDescent="0.3"/>
    <row r="67" spans="1:15" s="6" customFormat="1" ht="15" customHeight="1" x14ac:dyDescent="0.3"/>
    <row r="68" spans="1:15" s="6" customFormat="1" ht="15" customHeight="1" x14ac:dyDescent="0.3"/>
    <row r="69" spans="1:15" s="6" customFormat="1" ht="15" customHeight="1" x14ac:dyDescent="0.3"/>
    <row r="70" spans="1:15" s="6" customFormat="1" ht="15" customHeight="1" x14ac:dyDescent="0.3"/>
    <row r="71" spans="1:15" s="6" customFormat="1" ht="15" customHeight="1" x14ac:dyDescent="0.3"/>
    <row r="72" spans="1:15" s="6" customFormat="1" ht="15" customHeight="1" x14ac:dyDescent="0.3"/>
    <row r="73" spans="1:15" s="6" customFormat="1" ht="15" customHeight="1" x14ac:dyDescent="0.3"/>
    <row r="74" spans="1:15" s="6" customFormat="1" ht="15" customHeight="1" x14ac:dyDescent="0.3"/>
    <row r="75" spans="1:15" s="6" customFormat="1" ht="15" customHeight="1" x14ac:dyDescent="0.3">
      <c r="F75" s="14"/>
      <c r="K75" s="14"/>
      <c r="L75" s="14"/>
      <c r="M75" s="14"/>
      <c r="N75" s="14"/>
      <c r="O75" s="14"/>
    </row>
    <row r="76" spans="1:15" ht="14.25" x14ac:dyDescent="0.3">
      <c r="A76" s="6"/>
      <c r="B76" s="6"/>
      <c r="C76" s="6"/>
      <c r="D76" s="6"/>
      <c r="E76" s="6"/>
    </row>
  </sheetData>
  <sheetProtection sheet="1"/>
  <phoneticPr fontId="0" type="noConversion"/>
  <printOptions horizontalCentered="1"/>
  <pageMargins left="0.15" right="0.25" top="1" bottom="1" header="0.5" footer="0.5"/>
  <pageSetup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H58"/>
  <sheetViews>
    <sheetView showGridLines="0" topLeftCell="A4" workbookViewId="0">
      <selection activeCell="D15" sqref="D15"/>
    </sheetView>
  </sheetViews>
  <sheetFormatPr defaultRowHeight="13.5" x14ac:dyDescent="0.25"/>
  <cols>
    <col min="1" max="1" width="3.625" style="163" customWidth="1"/>
    <col min="2" max="2" width="10.625" style="163" customWidth="1"/>
    <col min="3" max="3" width="15.875" style="163" customWidth="1"/>
    <col min="4" max="4" width="12.875" style="163" customWidth="1"/>
    <col min="5" max="9" width="10.625" style="163" customWidth="1"/>
    <col min="10" max="16384" width="9" style="163"/>
  </cols>
  <sheetData>
    <row r="9" spans="1:8" ht="14.25" x14ac:dyDescent="0.25">
      <c r="A9" s="87"/>
      <c r="B9" s="87"/>
      <c r="C9" s="112" t="s">
        <v>33</v>
      </c>
      <c r="D9" s="87"/>
      <c r="E9" s="87"/>
      <c r="F9" s="87"/>
      <c r="G9" s="109"/>
      <c r="H9" s="109"/>
    </row>
    <row r="10" spans="1:8" ht="14.25" x14ac:dyDescent="0.25">
      <c r="A10" s="87"/>
      <c r="B10" s="87"/>
      <c r="C10" s="113">
        <v>181</v>
      </c>
      <c r="D10" s="87"/>
      <c r="E10" s="87"/>
      <c r="F10" s="87"/>
      <c r="G10" s="114"/>
      <c r="H10" s="114"/>
    </row>
    <row r="11" spans="1:8" ht="14.25" x14ac:dyDescent="0.25">
      <c r="A11" s="87"/>
      <c r="B11" s="87"/>
      <c r="C11" s="87"/>
      <c r="D11" s="87"/>
      <c r="E11" s="87"/>
      <c r="F11" s="114" t="s">
        <v>2</v>
      </c>
      <c r="G11" s="114" t="s">
        <v>1</v>
      </c>
      <c r="H11" s="114"/>
    </row>
    <row r="12" spans="1:8" ht="14.25" x14ac:dyDescent="0.25">
      <c r="A12" s="87"/>
      <c r="B12" s="87"/>
      <c r="C12" s="87"/>
      <c r="D12" s="87"/>
      <c r="E12" s="87"/>
      <c r="F12" s="114">
        <v>0</v>
      </c>
      <c r="G12" s="114">
        <v>0</v>
      </c>
      <c r="H12" s="114"/>
    </row>
    <row r="13" spans="1:8" ht="14.25" x14ac:dyDescent="0.25">
      <c r="A13" s="87"/>
      <c r="B13" s="69" t="s">
        <v>0</v>
      </c>
      <c r="C13" s="87"/>
      <c r="D13" s="69" t="s">
        <v>30</v>
      </c>
      <c r="E13" s="69"/>
      <c r="F13" s="115">
        <f>B14</f>
        <v>0</v>
      </c>
      <c r="G13" s="115">
        <f>D14</f>
        <v>270</v>
      </c>
      <c r="H13" s="116"/>
    </row>
    <row r="14" spans="1:8" ht="14.25" x14ac:dyDescent="0.25">
      <c r="A14" s="87"/>
      <c r="B14" s="117">
        <v>0</v>
      </c>
      <c r="C14" s="87"/>
      <c r="D14" s="117">
        <v>270</v>
      </c>
      <c r="E14" s="118"/>
      <c r="F14" s="119">
        <f>F13+C10</f>
        <v>181</v>
      </c>
      <c r="G14" s="115">
        <f>D14</f>
        <v>270</v>
      </c>
      <c r="H14" s="116"/>
    </row>
    <row r="15" spans="1:8" ht="14.25" x14ac:dyDescent="0.25">
      <c r="A15" s="87"/>
      <c r="B15" s="87"/>
      <c r="C15" s="69" t="s">
        <v>29</v>
      </c>
      <c r="D15" s="87"/>
      <c r="E15" s="120"/>
      <c r="F15" s="119">
        <f>C16</f>
        <v>308</v>
      </c>
      <c r="G15" s="115">
        <v>0</v>
      </c>
      <c r="H15" s="116"/>
    </row>
    <row r="16" spans="1:8" ht="14.25" x14ac:dyDescent="0.25">
      <c r="A16" s="87"/>
      <c r="B16" s="87"/>
      <c r="C16" s="117">
        <v>308</v>
      </c>
      <c r="D16" s="87"/>
      <c r="E16" s="120"/>
      <c r="F16" s="121">
        <v>0</v>
      </c>
      <c r="G16" s="121">
        <v>0</v>
      </c>
      <c r="H16" s="116"/>
    </row>
    <row r="17" spans="1:8" ht="14.25" x14ac:dyDescent="0.25">
      <c r="A17" s="87"/>
      <c r="B17" s="87"/>
      <c r="C17" s="87"/>
      <c r="D17" s="87"/>
      <c r="E17" s="120"/>
      <c r="F17" s="122">
        <f>B19</f>
        <v>20</v>
      </c>
      <c r="G17" s="123">
        <f>-D19</f>
        <v>-27</v>
      </c>
      <c r="H17" s="114"/>
    </row>
    <row r="18" spans="1:8" ht="14.25" x14ac:dyDescent="0.25">
      <c r="A18" s="87"/>
      <c r="B18" s="124" t="s">
        <v>0</v>
      </c>
      <c r="C18" s="87"/>
      <c r="D18" s="69" t="s">
        <v>31</v>
      </c>
      <c r="E18" s="124"/>
      <c r="F18" s="122">
        <f>F17+C24</f>
        <v>320</v>
      </c>
      <c r="G18" s="125">
        <f>-D19</f>
        <v>-27</v>
      </c>
      <c r="H18" s="114"/>
    </row>
    <row r="19" spans="1:8" ht="14.25" x14ac:dyDescent="0.25">
      <c r="A19" s="87"/>
      <c r="B19" s="117">
        <v>20</v>
      </c>
      <c r="C19" s="87"/>
      <c r="D19" s="117">
        <v>27</v>
      </c>
      <c r="E19" s="118"/>
      <c r="F19" s="123">
        <f>C16</f>
        <v>308</v>
      </c>
      <c r="G19" s="126">
        <v>0</v>
      </c>
      <c r="H19" s="114"/>
    </row>
    <row r="20" spans="1:8" ht="14.25" x14ac:dyDescent="0.25">
      <c r="A20" s="87"/>
      <c r="B20" s="87"/>
      <c r="C20" s="87"/>
      <c r="D20" s="87"/>
      <c r="E20" s="87"/>
      <c r="F20" s="126">
        <v>0</v>
      </c>
      <c r="G20" s="126">
        <v>0</v>
      </c>
      <c r="H20" s="114"/>
    </row>
    <row r="21" spans="1:8" ht="14.25" x14ac:dyDescent="0.25">
      <c r="A21" s="87"/>
      <c r="B21" s="87"/>
      <c r="C21" s="87"/>
      <c r="D21" s="87"/>
      <c r="E21" s="87"/>
      <c r="F21" s="114"/>
      <c r="G21" s="114"/>
      <c r="H21" s="114"/>
    </row>
    <row r="22" spans="1:8" ht="14.25" x14ac:dyDescent="0.25">
      <c r="A22" s="87"/>
      <c r="B22" s="87"/>
      <c r="C22" s="87"/>
      <c r="D22" s="87"/>
      <c r="E22" s="87"/>
      <c r="F22" s="127">
        <f>D41</f>
        <v>65.093791681823689</v>
      </c>
      <c r="G22" s="114">
        <v>0</v>
      </c>
      <c r="H22" s="114"/>
    </row>
    <row r="23" spans="1:8" ht="14.25" x14ac:dyDescent="0.25">
      <c r="A23" s="87"/>
      <c r="B23" s="87"/>
      <c r="C23" s="69" t="s">
        <v>32</v>
      </c>
      <c r="D23" s="87"/>
      <c r="E23" s="87"/>
      <c r="F23" s="109"/>
      <c r="G23" s="109"/>
      <c r="H23" s="109"/>
    </row>
    <row r="24" spans="1:8" ht="14.25" x14ac:dyDescent="0.25">
      <c r="A24" s="87"/>
      <c r="B24" s="87"/>
      <c r="C24" s="117">
        <v>300</v>
      </c>
      <c r="D24" s="87"/>
      <c r="E24" s="87"/>
      <c r="F24" s="109"/>
      <c r="G24" s="109"/>
      <c r="H24" s="109"/>
    </row>
    <row r="25" spans="1:8" ht="14.25" x14ac:dyDescent="0.25">
      <c r="A25" s="87"/>
      <c r="B25" s="87"/>
      <c r="C25" s="87"/>
      <c r="D25" s="87"/>
      <c r="E25" s="87"/>
      <c r="F25" s="109"/>
      <c r="G25" s="109"/>
      <c r="H25" s="109"/>
    </row>
    <row r="26" spans="1:8" ht="14.25" x14ac:dyDescent="0.25">
      <c r="A26" s="109"/>
      <c r="B26" s="109"/>
      <c r="C26" s="109"/>
      <c r="D26" s="109"/>
      <c r="G26" s="109"/>
      <c r="H26" s="109"/>
    </row>
    <row r="27" spans="1:8" ht="14.1" customHeight="1" x14ac:dyDescent="0.25">
      <c r="A27" s="109"/>
      <c r="B27" s="109"/>
      <c r="C27" s="109"/>
      <c r="D27" s="109"/>
      <c r="E27" s="110"/>
      <c r="G27" s="109"/>
      <c r="H27" s="109"/>
    </row>
    <row r="28" spans="1:8" ht="14.1" customHeight="1" x14ac:dyDescent="0.25">
      <c r="A28" s="109"/>
      <c r="B28" s="109"/>
      <c r="C28" s="109"/>
      <c r="D28" s="109"/>
      <c r="E28" s="110" t="s">
        <v>148</v>
      </c>
      <c r="G28" s="109"/>
      <c r="H28" s="109"/>
    </row>
    <row r="29" spans="1:8" ht="14.1" customHeight="1" x14ac:dyDescent="0.25">
      <c r="A29" s="109"/>
      <c r="B29" s="109"/>
      <c r="C29" s="109"/>
      <c r="D29" s="109"/>
      <c r="E29" s="110"/>
      <c r="G29" s="109"/>
      <c r="H29" s="109"/>
    </row>
    <row r="30" spans="1:8" ht="15.75" x14ac:dyDescent="0.25">
      <c r="A30" s="109"/>
      <c r="B30" s="111" t="s">
        <v>192</v>
      </c>
      <c r="C30" s="109"/>
      <c r="D30" s="109"/>
      <c r="E30" s="110"/>
      <c r="G30" s="109"/>
      <c r="H30" s="109"/>
    </row>
    <row r="31" spans="1:8" ht="14.1" customHeight="1" x14ac:dyDescent="0.25">
      <c r="A31" s="109"/>
      <c r="B31" s="111" t="s">
        <v>182</v>
      </c>
      <c r="C31" s="109"/>
      <c r="D31" s="109"/>
      <c r="E31" s="110"/>
      <c r="G31" s="109"/>
      <c r="H31" s="109"/>
    </row>
    <row r="32" spans="1:8" ht="14.25" x14ac:dyDescent="0.25">
      <c r="A32" s="109"/>
      <c r="B32" s="109"/>
      <c r="C32" s="109"/>
      <c r="D32" s="109"/>
      <c r="E32" s="109"/>
      <c r="F32" s="109"/>
      <c r="G32" s="109"/>
      <c r="H32" s="109"/>
    </row>
    <row r="33" spans="1:8" ht="15.75" x14ac:dyDescent="0.25">
      <c r="A33" s="109"/>
      <c r="B33" s="299" t="s">
        <v>66</v>
      </c>
      <c r="C33" s="289"/>
      <c r="D33" s="289"/>
      <c r="E33" s="107"/>
      <c r="F33" s="109"/>
      <c r="G33" s="109"/>
      <c r="H33" s="109"/>
    </row>
    <row r="34" spans="1:8" ht="14.25" x14ac:dyDescent="0.25">
      <c r="A34" s="109"/>
      <c r="B34" s="256" t="s">
        <v>14</v>
      </c>
      <c r="C34" s="137"/>
      <c r="D34" s="257">
        <f>D19+D14</f>
        <v>297</v>
      </c>
      <c r="E34" s="128" t="s">
        <v>223</v>
      </c>
      <c r="F34" s="109"/>
      <c r="G34" s="109"/>
      <c r="H34" s="109"/>
    </row>
    <row r="35" spans="1:8" ht="14.25" x14ac:dyDescent="0.25">
      <c r="A35" s="109"/>
      <c r="B35" s="256" t="s">
        <v>15</v>
      </c>
      <c r="C35" s="137"/>
      <c r="D35" s="257">
        <f>IF(D14=0,0,D34*D36)/10000</f>
        <v>7.4222999999999999</v>
      </c>
      <c r="E35" s="147" t="s">
        <v>227</v>
      </c>
      <c r="F35" s="129"/>
      <c r="G35" s="129"/>
      <c r="H35" s="129"/>
    </row>
    <row r="36" spans="1:8" ht="14.25" x14ac:dyDescent="0.25">
      <c r="A36" s="109"/>
      <c r="B36" s="256" t="s">
        <v>17</v>
      </c>
      <c r="C36" s="137"/>
      <c r="D36" s="257">
        <f>IF(D14=0,0,(D52+D44)/(D19+D14))*10000</f>
        <v>249.90909090909091</v>
      </c>
      <c r="E36" s="128" t="s">
        <v>223</v>
      </c>
      <c r="F36" s="109"/>
      <c r="G36" s="109"/>
      <c r="H36" s="109"/>
    </row>
    <row r="37" spans="1:8" ht="14.25" x14ac:dyDescent="0.25">
      <c r="A37" s="109"/>
      <c r="B37" s="256" t="s">
        <v>153</v>
      </c>
      <c r="C37" s="137"/>
      <c r="D37" s="257">
        <f>((D44*D47)+(D52*D55))/(D44+D52)</f>
        <v>255.97114102097731</v>
      </c>
      <c r="E37" s="256" t="s">
        <v>223</v>
      </c>
      <c r="F37" s="109"/>
      <c r="G37" s="109"/>
      <c r="H37" s="109"/>
    </row>
    <row r="38" spans="1:8" ht="14.25" x14ac:dyDescent="0.25">
      <c r="A38" s="109"/>
      <c r="B38" s="256" t="s">
        <v>221</v>
      </c>
      <c r="C38" s="137"/>
      <c r="D38" s="257">
        <f>D34/D36</f>
        <v>1.1884321571480538</v>
      </c>
      <c r="E38" s="128"/>
      <c r="F38" s="109"/>
      <c r="G38" s="109"/>
      <c r="H38" s="109"/>
    </row>
    <row r="39" spans="1:8" ht="14.25" x14ac:dyDescent="0.25">
      <c r="A39" s="109"/>
      <c r="B39" s="256" t="s">
        <v>243</v>
      </c>
      <c r="C39" s="137"/>
      <c r="D39" s="257">
        <f>D35/Wing!C36*100</f>
        <v>8.2773502843760465</v>
      </c>
      <c r="E39" s="128"/>
      <c r="F39" s="109"/>
      <c r="G39" s="109"/>
      <c r="H39" s="109"/>
    </row>
    <row r="40" spans="1:8" ht="14.25" x14ac:dyDescent="0.25">
      <c r="A40" s="109"/>
      <c r="B40" s="256" t="s">
        <v>18</v>
      </c>
      <c r="C40" s="137"/>
      <c r="D40" s="257">
        <f>IF(D14=0,0,(D52*D53+D44*D45)/D35-D37*0.25)</f>
        <v>1.1010064265793602</v>
      </c>
      <c r="E40" s="128" t="s">
        <v>223</v>
      </c>
      <c r="F40" s="109"/>
      <c r="G40" s="109"/>
      <c r="H40" s="109"/>
    </row>
    <row r="41" spans="1:8" ht="14.25" x14ac:dyDescent="0.25">
      <c r="A41" s="109"/>
      <c r="B41" s="149" t="s">
        <v>19</v>
      </c>
      <c r="C41" s="149"/>
      <c r="D41" s="153">
        <f>D40+D37*0.25</f>
        <v>65.093791681823689</v>
      </c>
      <c r="E41" s="101" t="s">
        <v>223</v>
      </c>
      <c r="F41" s="109"/>
      <c r="G41" s="109"/>
      <c r="H41" s="109"/>
    </row>
    <row r="42" spans="1:8" ht="14.25" x14ac:dyDescent="0.25">
      <c r="A42" s="109"/>
      <c r="B42" s="149"/>
      <c r="C42" s="149"/>
      <c r="D42" s="153"/>
      <c r="E42" s="101"/>
      <c r="F42" s="109"/>
      <c r="G42" s="109"/>
      <c r="H42" s="109"/>
    </row>
    <row r="43" spans="1:8" ht="14.25" x14ac:dyDescent="0.25">
      <c r="A43" s="109"/>
      <c r="B43" s="300" t="s">
        <v>34</v>
      </c>
      <c r="C43" s="302"/>
      <c r="D43" s="302"/>
      <c r="E43" s="109"/>
      <c r="F43" s="109"/>
      <c r="G43" s="109"/>
      <c r="H43" s="109"/>
    </row>
    <row r="44" spans="1:8" ht="14.25" x14ac:dyDescent="0.25">
      <c r="A44" s="109"/>
      <c r="B44" s="256" t="s">
        <v>12</v>
      </c>
      <c r="C44" s="256"/>
      <c r="D44" s="260">
        <f>D14*(C16+C10)/2/10000</f>
        <v>6.6014999999999997</v>
      </c>
      <c r="E44" s="147" t="s">
        <v>227</v>
      </c>
      <c r="F44" s="109"/>
      <c r="G44" s="109"/>
      <c r="H44" s="109"/>
    </row>
    <row r="45" spans="1:8" ht="14.25" x14ac:dyDescent="0.25">
      <c r="A45" s="109"/>
      <c r="B45" s="256" t="s">
        <v>13</v>
      </c>
      <c r="C45" s="256"/>
      <c r="D45" s="260">
        <f>IF(C16=0,0,B14*(C16+2*C10)/3/(C16+C10)+(C16+C10-C16*C10/(C16+C10))/6)</f>
        <v>62.499318336741652</v>
      </c>
      <c r="E45" s="107" t="s">
        <v>223</v>
      </c>
      <c r="F45" s="109"/>
      <c r="G45" s="109"/>
      <c r="H45" s="109"/>
    </row>
    <row r="46" spans="1:8" ht="14.25" x14ac:dyDescent="0.25">
      <c r="A46" s="109"/>
      <c r="B46" s="256" t="s">
        <v>17</v>
      </c>
      <c r="C46" s="256"/>
      <c r="D46" s="260">
        <f>D44/D14*10000</f>
        <v>244.5</v>
      </c>
      <c r="E46" s="264" t="s">
        <v>223</v>
      </c>
      <c r="F46" s="109"/>
      <c r="G46" s="109"/>
      <c r="H46" s="109"/>
    </row>
    <row r="47" spans="1:8" ht="14.25" x14ac:dyDescent="0.25">
      <c r="A47" s="109"/>
      <c r="B47" s="256" t="s">
        <v>245</v>
      </c>
      <c r="C47" s="256"/>
      <c r="D47" s="260">
        <f>2/3*(C16+(C10-((C16*C10)/(C16+C10))))</f>
        <v>249.99727334696661</v>
      </c>
      <c r="E47" s="264" t="s">
        <v>223</v>
      </c>
      <c r="F47" s="109"/>
      <c r="G47" s="109"/>
      <c r="H47" s="109"/>
    </row>
    <row r="48" spans="1:8" ht="14.25" x14ac:dyDescent="0.25">
      <c r="A48" s="109"/>
      <c r="B48" s="256" t="s">
        <v>242</v>
      </c>
      <c r="C48" s="256"/>
      <c r="D48" s="260">
        <f>2*D46/C16-1</f>
        <v>0.58766233766233755</v>
      </c>
      <c r="E48" s="107"/>
      <c r="F48" s="109"/>
      <c r="G48" s="109"/>
      <c r="H48" s="109"/>
    </row>
    <row r="49" spans="1:8" x14ac:dyDescent="0.25">
      <c r="B49" s="149" t="s">
        <v>200</v>
      </c>
      <c r="C49" s="137"/>
      <c r="D49" s="251">
        <f>IF(D14=0,0,ATAN(B14/D14)*(180/(PI())))</f>
        <v>0</v>
      </c>
      <c r="E49" s="137" t="s">
        <v>201</v>
      </c>
    </row>
    <row r="50" spans="1:8" x14ac:dyDescent="0.25">
      <c r="B50" s="258"/>
      <c r="C50" s="258"/>
      <c r="D50" s="258"/>
    </row>
    <row r="51" spans="1:8" ht="14.25" x14ac:dyDescent="0.25">
      <c r="A51" s="109"/>
      <c r="B51" s="300" t="s">
        <v>35</v>
      </c>
      <c r="C51" s="301"/>
      <c r="D51" s="301"/>
      <c r="E51" s="109"/>
      <c r="F51" s="109"/>
      <c r="G51" s="109"/>
      <c r="H51" s="109"/>
    </row>
    <row r="52" spans="1:8" ht="14.25" x14ac:dyDescent="0.25">
      <c r="A52" s="109"/>
      <c r="B52" s="256" t="s">
        <v>11</v>
      </c>
      <c r="C52" s="137"/>
      <c r="D52" s="261">
        <f>D19*(C24+C16)/2/10000</f>
        <v>0.82079999999999997</v>
      </c>
      <c r="E52" s="147" t="s">
        <v>227</v>
      </c>
      <c r="F52" s="109"/>
      <c r="G52" s="109"/>
      <c r="H52" s="109"/>
    </row>
    <row r="53" spans="1:8" ht="14.25" x14ac:dyDescent="0.25">
      <c r="A53" s="109"/>
      <c r="B53" s="256" t="s">
        <v>13</v>
      </c>
      <c r="C53" s="137"/>
      <c r="D53" s="257">
        <f>IF(C16=0,0,B19*(C16+2*C24)/3/(C16+C24)+(C16+C24-C16*C24/(C16+C24))/6)</f>
        <v>85.960526315789465</v>
      </c>
      <c r="E53" s="107" t="s">
        <v>223</v>
      </c>
      <c r="F53" s="109"/>
      <c r="G53" s="109"/>
      <c r="H53" s="109"/>
    </row>
    <row r="54" spans="1:8" ht="14.25" x14ac:dyDescent="0.25">
      <c r="A54" s="109"/>
      <c r="B54" s="256" t="s">
        <v>17</v>
      </c>
      <c r="C54" s="137"/>
      <c r="D54" s="257">
        <f>IF(D19=0,0,D52/D19*10000)</f>
        <v>304</v>
      </c>
      <c r="E54" s="264" t="s">
        <v>223</v>
      </c>
      <c r="F54" s="109"/>
      <c r="G54" s="109"/>
      <c r="H54" s="109"/>
    </row>
    <row r="55" spans="1:8" ht="14.25" x14ac:dyDescent="0.25">
      <c r="A55" s="109"/>
      <c r="B55" s="256" t="s">
        <v>245</v>
      </c>
      <c r="C55" s="137"/>
      <c r="D55" s="257">
        <f>2/3*(C16+(C24-((C16*C24)/(C16+C24))))</f>
        <v>304.01754385964909</v>
      </c>
      <c r="E55" s="264" t="s">
        <v>223</v>
      </c>
      <c r="F55" s="109"/>
      <c r="G55" s="109"/>
      <c r="H55" s="109"/>
    </row>
    <row r="56" spans="1:8" ht="14.25" x14ac:dyDescent="0.25">
      <c r="A56" s="109"/>
      <c r="B56" s="256" t="s">
        <v>242</v>
      </c>
      <c r="C56" s="137"/>
      <c r="D56" s="257">
        <f>IF(D19=0,0,2*D54/C16-1)</f>
        <v>0.97402597402597402</v>
      </c>
      <c r="E56" s="107"/>
      <c r="F56" s="109"/>
      <c r="G56" s="109"/>
      <c r="H56" s="109"/>
    </row>
    <row r="57" spans="1:8" ht="14.25" x14ac:dyDescent="0.25">
      <c r="A57" s="109"/>
      <c r="B57" s="149" t="s">
        <v>244</v>
      </c>
      <c r="C57" s="137"/>
      <c r="D57" s="251">
        <f>IF(D19=0,0,ATAN(B19/D19)*(180/(PI())))</f>
        <v>36.528855366985169</v>
      </c>
      <c r="E57" s="137" t="s">
        <v>201</v>
      </c>
      <c r="F57" s="109"/>
      <c r="G57" s="109"/>
      <c r="H57" s="109"/>
    </row>
    <row r="58" spans="1:8" ht="14.25" x14ac:dyDescent="0.25">
      <c r="A58" s="109"/>
      <c r="B58" s="149"/>
      <c r="C58" s="137"/>
      <c r="D58" s="251"/>
      <c r="E58" s="137"/>
      <c r="F58" s="109"/>
      <c r="G58" s="109"/>
      <c r="H58" s="109"/>
    </row>
  </sheetData>
  <sheetProtection sheet="1"/>
  <mergeCells count="3">
    <mergeCell ref="B33:D33"/>
    <mergeCell ref="B51:D51"/>
    <mergeCell ref="B43:D43"/>
  </mergeCells>
  <phoneticPr fontId="31" type="noConversion"/>
  <printOptions horizontalCentered="1"/>
  <pageMargins left="0.38" right="0.36" top="0.74" bottom="0.84" header="0.42" footer="0.5"/>
  <pageSetup scale="90"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7" transitionEvaluation="1"/>
  <dimension ref="A11:O61"/>
  <sheetViews>
    <sheetView showGridLines="0" topLeftCell="A7" zoomScaleNormal="100" workbookViewId="0">
      <selection activeCell="C37" sqref="C37"/>
    </sheetView>
  </sheetViews>
  <sheetFormatPr defaultColWidth="10.625" defaultRowHeight="12.75" x14ac:dyDescent="0.25"/>
  <cols>
    <col min="1" max="1" width="4.375" style="87" customWidth="1"/>
    <col min="2" max="2" width="29" style="87" customWidth="1"/>
    <col min="3" max="3" width="12.5" style="87" customWidth="1"/>
    <col min="4" max="4" width="9" style="87" customWidth="1"/>
    <col min="5" max="5" width="8" style="87" customWidth="1"/>
    <col min="6" max="6" width="11" style="87" customWidth="1"/>
    <col min="7" max="7" width="5.75" style="87" customWidth="1"/>
    <col min="8" max="8" width="9.5" style="87" customWidth="1"/>
    <col min="9" max="9" width="8.75" style="87" customWidth="1"/>
    <col min="10" max="10" width="15.75" style="87" customWidth="1"/>
    <col min="11" max="11" width="16.625" style="87" bestFit="1" customWidth="1"/>
    <col min="12" max="12" width="11.75" style="87" customWidth="1"/>
    <col min="13" max="13" width="16.25" style="87" bestFit="1" customWidth="1"/>
    <col min="14" max="14" width="5.625" style="87" customWidth="1"/>
    <col min="15" max="15" width="5.75" style="87" customWidth="1"/>
    <col min="16" max="16" width="6.75" style="87" customWidth="1"/>
    <col min="17" max="17" width="10.625" style="87"/>
    <col min="18" max="18" width="20.25" style="87" customWidth="1"/>
    <col min="19" max="19" width="3.625" style="87" customWidth="1"/>
    <col min="20" max="20" width="9.25" style="87" bestFit="1" customWidth="1"/>
    <col min="21" max="21" width="13.75" style="87" bestFit="1" customWidth="1"/>
    <col min="22" max="16384" width="10.625" style="87"/>
  </cols>
  <sheetData>
    <row r="11" spans="1:9" ht="12.75" customHeight="1" x14ac:dyDescent="0.25">
      <c r="A11" s="86"/>
    </row>
    <row r="12" spans="1:9" ht="12.75" customHeight="1" x14ac:dyDescent="0.25">
      <c r="A12" s="86"/>
    </row>
    <row r="13" spans="1:9" ht="12.75" customHeight="1" x14ac:dyDescent="0.25">
      <c r="A13" s="86"/>
      <c r="B13" s="68" t="s">
        <v>1</v>
      </c>
      <c r="C13" s="68" t="s">
        <v>2</v>
      </c>
      <c r="D13" s="68" t="s">
        <v>1</v>
      </c>
      <c r="E13" s="68" t="s">
        <v>2</v>
      </c>
      <c r="F13" s="68" t="s">
        <v>1</v>
      </c>
      <c r="G13" s="68" t="s">
        <v>2</v>
      </c>
      <c r="H13" s="68" t="s">
        <v>1</v>
      </c>
      <c r="I13" s="68" t="s">
        <v>2</v>
      </c>
    </row>
    <row r="14" spans="1:9" ht="12.75" customHeight="1" x14ac:dyDescent="0.25">
      <c r="A14" s="86"/>
      <c r="B14" s="68">
        <f>Wing!F23</f>
        <v>0</v>
      </c>
      <c r="C14" s="68">
        <f>Wing!G23</f>
        <v>0</v>
      </c>
      <c r="D14" s="68">
        <f>Wing!H23</f>
        <v>888</v>
      </c>
      <c r="E14" s="68">
        <f>Wing!I23</f>
        <v>300</v>
      </c>
      <c r="F14" s="68">
        <f>Wing!J23</f>
        <v>1606</v>
      </c>
      <c r="G14" s="68">
        <f>Wing!K23</f>
        <v>254</v>
      </c>
      <c r="H14" s="68">
        <f>Wing!L23</f>
        <v>1684</v>
      </c>
      <c r="I14" s="68">
        <f>Wing!M23</f>
        <v>194</v>
      </c>
    </row>
    <row r="15" spans="1:9" ht="12.75" customHeight="1" x14ac:dyDescent="0.25">
      <c r="A15" s="86"/>
      <c r="B15" s="68">
        <f>Wing!F24</f>
        <v>0</v>
      </c>
      <c r="C15" s="68">
        <f>Wing!G24</f>
        <v>300</v>
      </c>
      <c r="D15" s="68">
        <f>Wing!H24</f>
        <v>1606</v>
      </c>
      <c r="E15" s="68">
        <f>Wing!I24</f>
        <v>254</v>
      </c>
      <c r="F15" s="68">
        <f>Wing!J24</f>
        <v>1684</v>
      </c>
      <c r="G15" s="68">
        <f>Wing!K24</f>
        <v>194</v>
      </c>
      <c r="H15" s="68">
        <f>Wing!L24</f>
        <v>1704</v>
      </c>
      <c r="I15" s="68">
        <f>Wing!M24</f>
        <v>114</v>
      </c>
    </row>
    <row r="16" spans="1:9" ht="12.75" customHeight="1" x14ac:dyDescent="0.25">
      <c r="A16" s="86"/>
      <c r="B16" s="68">
        <f>Wing!F25</f>
        <v>888</v>
      </c>
      <c r="C16" s="68">
        <f>Wing!G25</f>
        <v>300</v>
      </c>
      <c r="D16" s="68">
        <f>Wing!H25</f>
        <v>1606</v>
      </c>
      <c r="E16" s="68">
        <f>Wing!I25</f>
        <v>80</v>
      </c>
      <c r="F16" s="68">
        <f>Wing!J25</f>
        <v>1684</v>
      </c>
      <c r="G16" s="68">
        <f>Wing!K25</f>
        <v>92</v>
      </c>
      <c r="H16" s="68">
        <f>Wing!L25</f>
        <v>1704</v>
      </c>
      <c r="I16" s="68">
        <f>Wing!M25</f>
        <v>114</v>
      </c>
    </row>
    <row r="17" spans="1:9" ht="12.75" customHeight="1" x14ac:dyDescent="0.25">
      <c r="A17" s="86"/>
      <c r="B17" s="68">
        <f>Wing!F26</f>
        <v>888</v>
      </c>
      <c r="C17" s="68">
        <f>Wing!G26</f>
        <v>0</v>
      </c>
      <c r="D17" s="68">
        <f>Wing!H26</f>
        <v>888</v>
      </c>
      <c r="E17" s="68">
        <f>Wing!I26</f>
        <v>0</v>
      </c>
      <c r="F17" s="68">
        <f>Wing!J26</f>
        <v>1606</v>
      </c>
      <c r="G17" s="68">
        <f>Wing!K26</f>
        <v>80</v>
      </c>
      <c r="H17" s="68">
        <f>Wing!L26</f>
        <v>1684</v>
      </c>
      <c r="I17" s="68">
        <f>Wing!M26</f>
        <v>92</v>
      </c>
    </row>
    <row r="18" spans="1:9" ht="12.75" customHeight="1" x14ac:dyDescent="0.25">
      <c r="A18" s="86"/>
      <c r="B18" s="68">
        <f>Wing!F27</f>
        <v>0</v>
      </c>
      <c r="C18" s="68">
        <f>Wing!G27</f>
        <v>0</v>
      </c>
      <c r="D18" s="68"/>
      <c r="E18" s="68"/>
      <c r="F18" s="68"/>
      <c r="G18" s="68"/>
    </row>
    <row r="19" spans="1:9" ht="12.75" customHeight="1" x14ac:dyDescent="0.25">
      <c r="A19" s="86"/>
      <c r="B19" s="68"/>
      <c r="C19" s="68"/>
      <c r="D19" s="68"/>
      <c r="E19" s="68"/>
      <c r="F19" s="68"/>
      <c r="G19" s="68"/>
    </row>
    <row r="20" spans="1:9" ht="12.75" customHeight="1" x14ac:dyDescent="0.25">
      <c r="A20" s="86"/>
      <c r="B20" s="69">
        <v>0</v>
      </c>
      <c r="C20" s="70">
        <f>Wing!B14-D36</f>
        <v>194.37416399075335</v>
      </c>
      <c r="D20" s="68"/>
      <c r="E20" s="68"/>
      <c r="F20" s="68"/>
      <c r="G20" s="68"/>
    </row>
    <row r="21" spans="1:9" ht="12.75" customHeight="1" x14ac:dyDescent="0.25">
      <c r="A21" s="86"/>
      <c r="B21" s="71">
        <v>0</v>
      </c>
      <c r="C21" s="72">
        <f>C57</f>
        <v>186.15818914966934</v>
      </c>
      <c r="D21" s="68"/>
      <c r="E21" s="59">
        <v>0</v>
      </c>
      <c r="F21" s="59">
        <f>B23</f>
        <v>768.28450094792015</v>
      </c>
      <c r="G21" s="68"/>
    </row>
    <row r="22" spans="1:9" ht="12.75" customHeight="1" x14ac:dyDescent="0.25">
      <c r="A22" s="86"/>
      <c r="E22" s="59">
        <f>C21</f>
        <v>186.15818914966934</v>
      </c>
      <c r="F22" s="59">
        <f>C21</f>
        <v>186.15818914966934</v>
      </c>
    </row>
    <row r="23" spans="1:9" ht="12.75" customHeight="1" x14ac:dyDescent="0.25">
      <c r="A23" s="86"/>
      <c r="B23" s="88">
        <f>Wing!$F$31</f>
        <v>768.28450094792015</v>
      </c>
      <c r="C23" s="88">
        <f>Wing!$G$31</f>
        <v>290.32080294412845</v>
      </c>
    </row>
    <row r="24" spans="1:9" ht="12.75" customHeight="1" x14ac:dyDescent="0.25">
      <c r="A24" s="86"/>
      <c r="B24" s="88">
        <f>Wing!$F$32</f>
        <v>768.28450094792015</v>
      </c>
      <c r="C24" s="88">
        <f>Wing!$G$32</f>
        <v>16.454974907995961</v>
      </c>
    </row>
    <row r="25" spans="1:9" ht="18" x14ac:dyDescent="0.25">
      <c r="A25" s="86"/>
    </row>
    <row r="26" spans="1:9" ht="15" customHeight="1" x14ac:dyDescent="0.25">
      <c r="A26" s="86"/>
      <c r="B26" s="89" t="s">
        <v>181</v>
      </c>
    </row>
    <row r="27" spans="1:9" ht="15" customHeight="1" x14ac:dyDescent="0.25">
      <c r="A27" s="86"/>
      <c r="B27" s="89" t="s">
        <v>187</v>
      </c>
    </row>
    <row r="28" spans="1:9" ht="15" customHeight="1" x14ac:dyDescent="0.25">
      <c r="A28" s="86"/>
      <c r="B28" s="89" t="s">
        <v>188</v>
      </c>
    </row>
    <row r="29" spans="1:9" ht="15" customHeight="1" x14ac:dyDescent="0.25">
      <c r="A29" s="86"/>
      <c r="B29" s="89" t="s">
        <v>189</v>
      </c>
    </row>
    <row r="30" spans="1:9" ht="15" customHeight="1" x14ac:dyDescent="0.25">
      <c r="A30" s="86"/>
      <c r="B30" s="89"/>
    </row>
    <row r="31" spans="1:9" ht="23.25" customHeight="1" x14ac:dyDescent="0.25">
      <c r="A31" s="86"/>
      <c r="B31" s="197" t="s">
        <v>193</v>
      </c>
    </row>
    <row r="32" spans="1:9" ht="12.75" customHeight="1" x14ac:dyDescent="0.25">
      <c r="B32" s="86"/>
    </row>
    <row r="33" spans="1:15" ht="12.75" customHeight="1" x14ac:dyDescent="0.25">
      <c r="B33" s="90" t="s">
        <v>82</v>
      </c>
      <c r="C33" s="73">
        <v>0.6</v>
      </c>
      <c r="G33" s="91"/>
      <c r="H33" s="75"/>
      <c r="I33" s="92"/>
      <c r="J33" s="92"/>
    </row>
    <row r="34" spans="1:15" ht="25.5" customHeight="1" x14ac:dyDescent="0.25">
      <c r="B34" s="68"/>
      <c r="C34" s="238" t="s">
        <v>83</v>
      </c>
      <c r="D34" s="238" t="s">
        <v>224</v>
      </c>
      <c r="E34" s="76" t="s">
        <v>8</v>
      </c>
      <c r="G34" s="74"/>
      <c r="H34" s="77"/>
      <c r="I34" s="77"/>
      <c r="J34" s="77"/>
    </row>
    <row r="35" spans="1:15" ht="12.75" customHeight="1" x14ac:dyDescent="0.25">
      <c r="B35" s="93" t="s">
        <v>78</v>
      </c>
      <c r="C35" s="78">
        <f>C55-E35</f>
        <v>0</v>
      </c>
      <c r="D35" s="59">
        <f>Wing!C42+Wing!C39*E35/100</f>
        <v>113.84181085033065</v>
      </c>
      <c r="E35" s="78">
        <f>C55</f>
        <v>38.034177006090886</v>
      </c>
      <c r="G35" s="91"/>
      <c r="H35" s="75"/>
      <c r="I35" s="79"/>
      <c r="J35" s="75"/>
      <c r="K35" s="94"/>
      <c r="N35" s="95"/>
      <c r="O35" s="96"/>
    </row>
    <row r="36" spans="1:15" s="68" customFormat="1" ht="12.75" customHeight="1" x14ac:dyDescent="0.25">
      <c r="B36" s="97" t="s">
        <v>89</v>
      </c>
      <c r="C36" s="80">
        <v>3</v>
      </c>
      <c r="D36" s="59">
        <f>Wing!C42+Wing!C39*E36/100</f>
        <v>105.62583600924667</v>
      </c>
      <c r="E36" s="78">
        <f>C55-C36</f>
        <v>35.034177006090886</v>
      </c>
      <c r="G36" s="98"/>
      <c r="H36" s="99"/>
      <c r="I36" s="92"/>
      <c r="J36" s="92"/>
      <c r="K36" s="87"/>
      <c r="L36" s="87"/>
      <c r="M36" s="87"/>
    </row>
    <row r="37" spans="1:15" s="68" customFormat="1" ht="12.75" customHeight="1" x14ac:dyDescent="0.25">
      <c r="B37" s="97"/>
      <c r="C37" s="231"/>
      <c r="D37" s="59"/>
      <c r="E37" s="78"/>
      <c r="G37" s="98"/>
      <c r="H37" s="99"/>
      <c r="I37" s="92"/>
      <c r="J37" s="92"/>
      <c r="K37" s="87"/>
      <c r="L37" s="87"/>
      <c r="M37" s="87"/>
    </row>
    <row r="38" spans="1:15" s="68" customFormat="1" ht="12.75" customHeight="1" x14ac:dyDescent="0.25">
      <c r="B38" s="97"/>
      <c r="C38" s="231"/>
      <c r="D38" s="59"/>
      <c r="E38" s="78"/>
      <c r="G38" s="98"/>
      <c r="H38" s="99"/>
      <c r="I38" s="92"/>
      <c r="J38" s="92"/>
      <c r="K38" s="87"/>
      <c r="L38" s="87"/>
      <c r="M38" s="87"/>
    </row>
    <row r="39" spans="1:15" s="68" customFormat="1" ht="12.75" customHeight="1" x14ac:dyDescent="0.25">
      <c r="B39" s="97"/>
      <c r="C39" s="231"/>
      <c r="D39" s="59"/>
      <c r="E39" s="78"/>
      <c r="G39" s="98"/>
      <c r="H39" s="99"/>
      <c r="I39" s="92"/>
      <c r="J39" s="92"/>
      <c r="K39" s="87"/>
      <c r="L39" s="87"/>
      <c r="M39" s="87"/>
    </row>
    <row r="40" spans="1:15" s="68" customFormat="1" ht="15.75" x14ac:dyDescent="0.25">
      <c r="B40" s="303" t="s">
        <v>212</v>
      </c>
      <c r="C40" s="304"/>
      <c r="D40" s="304"/>
      <c r="F40" s="98"/>
      <c r="G40" s="99"/>
      <c r="H40" s="92"/>
      <c r="I40" s="92"/>
      <c r="J40" s="87"/>
      <c r="K40" s="87"/>
      <c r="L40" s="87"/>
    </row>
    <row r="41" spans="1:15" s="68" customFormat="1" ht="15.75" x14ac:dyDescent="0.25">
      <c r="B41" s="232"/>
      <c r="C41" s="233"/>
      <c r="D41" s="233"/>
      <c r="E41" s="76" t="s">
        <v>211</v>
      </c>
      <c r="F41" s="98"/>
      <c r="G41" s="99"/>
      <c r="H41" s="92"/>
      <c r="I41" s="92"/>
      <c r="J41" s="87"/>
      <c r="K41" s="87"/>
      <c r="L41" s="87"/>
    </row>
    <row r="42" spans="1:15" ht="12.75" customHeight="1" x14ac:dyDescent="0.25">
      <c r="B42" s="90" t="s">
        <v>84</v>
      </c>
      <c r="C42" s="81">
        <v>92.963999999999999</v>
      </c>
      <c r="D42" s="234" t="s">
        <v>223</v>
      </c>
      <c r="E42" s="237">
        <f>C55-((C42-Wing!C42)/Wing!C39*100)</f>
        <v>7.623371999363183</v>
      </c>
      <c r="F42" s="236" t="s">
        <v>207</v>
      </c>
      <c r="G42" s="82"/>
      <c r="H42" s="79"/>
      <c r="I42" s="75"/>
      <c r="J42" s="83"/>
      <c r="K42" s="94"/>
      <c r="L42" s="100"/>
      <c r="M42" s="95"/>
      <c r="N42" s="88"/>
    </row>
    <row r="43" spans="1:15" s="68" customFormat="1" ht="12.75" customHeight="1" x14ac:dyDescent="0.25">
      <c r="B43" s="90" t="s">
        <v>81</v>
      </c>
      <c r="C43" s="80">
        <v>36</v>
      </c>
      <c r="D43" s="235" t="s">
        <v>207</v>
      </c>
      <c r="E43" s="94">
        <f>(C55-C43)</f>
        <v>2.0341770060908857</v>
      </c>
      <c r="F43" s="236" t="s">
        <v>207</v>
      </c>
      <c r="G43" s="82"/>
      <c r="H43" s="74"/>
      <c r="I43" s="75"/>
      <c r="J43" s="83"/>
      <c r="K43" s="95"/>
      <c r="L43" s="101"/>
      <c r="M43" s="95"/>
      <c r="N43" s="87"/>
    </row>
    <row r="44" spans="1:15" s="68" customFormat="1" ht="12" customHeight="1" x14ac:dyDescent="0.25">
      <c r="B44" s="90"/>
      <c r="C44" s="78"/>
      <c r="D44" s="59"/>
      <c r="E44" s="118"/>
      <c r="F44" s="95"/>
      <c r="G44" s="91"/>
      <c r="H44" s="82"/>
      <c r="I44" s="74"/>
      <c r="J44" s="75"/>
      <c r="K44" s="83"/>
      <c r="L44" s="95"/>
      <c r="M44" s="101"/>
      <c r="N44" s="95"/>
      <c r="O44" s="87"/>
    </row>
    <row r="45" spans="1:15" s="68" customFormat="1" ht="12" customHeight="1" x14ac:dyDescent="0.25">
      <c r="B45" s="90"/>
      <c r="C45" s="78"/>
      <c r="D45" s="59"/>
      <c r="E45" s="118"/>
      <c r="F45" s="95"/>
      <c r="G45" s="91"/>
      <c r="H45" s="82"/>
      <c r="I45" s="74"/>
      <c r="J45" s="75"/>
      <c r="K45" s="83"/>
      <c r="L45" s="95"/>
      <c r="M45" s="101"/>
      <c r="N45" s="95"/>
      <c r="O45" s="87"/>
    </row>
    <row r="46" spans="1:15" x14ac:dyDescent="0.25">
      <c r="A46" s="101"/>
      <c r="C46" s="88"/>
      <c r="E46" s="101"/>
      <c r="F46" s="101"/>
      <c r="H46" s="85"/>
      <c r="J46" s="101"/>
      <c r="L46" s="95"/>
    </row>
    <row r="47" spans="1:15" x14ac:dyDescent="0.25">
      <c r="A47" s="101"/>
      <c r="C47" s="88"/>
      <c r="E47" s="101"/>
      <c r="F47" s="101"/>
      <c r="H47" s="85"/>
      <c r="J47" s="101"/>
      <c r="L47" s="95"/>
    </row>
    <row r="48" spans="1:15" x14ac:dyDescent="0.25">
      <c r="A48" s="102" t="s">
        <v>46</v>
      </c>
      <c r="B48" s="68"/>
      <c r="C48" s="68"/>
      <c r="D48" s="68"/>
      <c r="E48" s="68"/>
      <c r="F48" s="68"/>
      <c r="G48" s="68"/>
      <c r="H48" s="68"/>
      <c r="I48" s="68"/>
      <c r="J48" s="68"/>
      <c r="K48" s="68"/>
    </row>
    <row r="49" spans="1:14" x14ac:dyDescent="0.25">
      <c r="A49" s="265" t="s">
        <v>246</v>
      </c>
      <c r="B49" s="68"/>
      <c r="C49" s="95">
        <f>(Wing!B21+('Horizontal Stabilizer'!D35)+(Wing!B14-Wing!C43))</f>
        <v>956.00215615407342</v>
      </c>
      <c r="D49" s="140" t="s">
        <v>223</v>
      </c>
      <c r="E49" s="68"/>
      <c r="F49" s="68"/>
      <c r="G49" s="68"/>
      <c r="H49" s="68"/>
      <c r="I49" s="68"/>
      <c r="J49" s="68"/>
      <c r="K49" s="68"/>
    </row>
    <row r="50" spans="1:14" x14ac:dyDescent="0.25">
      <c r="A50" s="93" t="s">
        <v>80</v>
      </c>
      <c r="B50" s="68"/>
      <c r="C50" s="103">
        <f>('Horizontal Stabilizer'!D24*C49/(Wing!C36*Wing!C38))</f>
        <v>0.39191274464120562</v>
      </c>
      <c r="D50" s="95"/>
      <c r="E50" s="137"/>
      <c r="F50" s="68"/>
      <c r="G50" s="68"/>
      <c r="H50" s="68"/>
      <c r="I50" s="68"/>
      <c r="J50" s="68"/>
      <c r="K50" s="68"/>
    </row>
    <row r="51" spans="1:14" x14ac:dyDescent="0.25">
      <c r="A51" s="93" t="s">
        <v>75</v>
      </c>
      <c r="C51" s="103">
        <f>('Horizontal Stabilizer'!D27*0.095)/('Horizontal Stabilizer'!D27+18.25*0.095)</f>
        <v>7.1084591140392589E-2</v>
      </c>
      <c r="F51" s="104"/>
      <c r="J51" s="68"/>
      <c r="K51" s="68"/>
      <c r="L51" s="68"/>
    </row>
    <row r="52" spans="1:14" x14ac:dyDescent="0.25">
      <c r="A52" s="93" t="s">
        <v>74</v>
      </c>
      <c r="C52" s="103">
        <f>(Wing!C40*0.11)/(Wing!C40+18.25*0.11)</f>
        <v>9.5238923547360951E-2</v>
      </c>
      <c r="F52" s="105"/>
      <c r="G52" s="106"/>
      <c r="H52" s="107"/>
      <c r="J52" s="68"/>
      <c r="K52" s="68"/>
      <c r="L52" s="68"/>
    </row>
    <row r="53" spans="1:14" x14ac:dyDescent="0.25">
      <c r="A53" s="93" t="s">
        <v>73</v>
      </c>
      <c r="C53" s="103">
        <f>C51/C52</f>
        <v>0.74638171550776966</v>
      </c>
      <c r="F53" s="105"/>
      <c r="G53" s="106"/>
      <c r="H53" s="107"/>
      <c r="J53" s="68"/>
      <c r="K53" s="68"/>
      <c r="L53" s="68"/>
    </row>
    <row r="54" spans="1:14" x14ac:dyDescent="0.25">
      <c r="A54" s="93" t="s">
        <v>79</v>
      </c>
      <c r="C54" s="103">
        <f>(35*((C52)/Wing!C40))</f>
        <v>0.25735376131624749</v>
      </c>
      <c r="F54" s="105"/>
      <c r="G54" s="106"/>
      <c r="H54" s="107"/>
      <c r="L54" s="68"/>
      <c r="M54" s="68"/>
      <c r="N54" s="68"/>
    </row>
    <row r="55" spans="1:14" x14ac:dyDescent="0.25">
      <c r="A55" s="93" t="s">
        <v>70</v>
      </c>
      <c r="B55" s="68"/>
      <c r="C55" s="95">
        <f>(0.25+(C33*C50*(C53)*(1-C54)))*100</f>
        <v>38.034177006090886</v>
      </c>
      <c r="D55" s="93" t="s">
        <v>72</v>
      </c>
      <c r="E55" s="93"/>
      <c r="F55" s="93"/>
      <c r="I55" s="68"/>
      <c r="J55" s="68"/>
      <c r="L55" s="68"/>
      <c r="M55" s="68"/>
    </row>
    <row r="56" spans="1:14" x14ac:dyDescent="0.25">
      <c r="A56" s="93" t="s">
        <v>71</v>
      </c>
      <c r="B56" s="68"/>
      <c r="C56" s="95">
        <f>Wing!C42+Wing!C39*C55/100</f>
        <v>113.84181085033065</v>
      </c>
      <c r="D56" s="93" t="s">
        <v>223</v>
      </c>
      <c r="E56" s="93"/>
      <c r="F56" s="93"/>
      <c r="G56" s="88"/>
      <c r="I56" s="68"/>
      <c r="J56" s="93"/>
      <c r="K56" s="68"/>
      <c r="L56" s="68"/>
      <c r="M56" s="68"/>
    </row>
    <row r="57" spans="1:14" x14ac:dyDescent="0.25">
      <c r="A57" s="87" t="s">
        <v>77</v>
      </c>
      <c r="B57" s="68"/>
      <c r="C57" s="95">
        <f>Wing!B14-C56</f>
        <v>186.15818914966934</v>
      </c>
      <c r="D57" s="93" t="s">
        <v>223</v>
      </c>
      <c r="E57" s="93"/>
      <c r="F57" s="68"/>
      <c r="G57" s="88"/>
      <c r="H57" s="93"/>
      <c r="I57" s="59"/>
      <c r="J57" s="68"/>
      <c r="K57" s="68"/>
      <c r="L57" s="68"/>
      <c r="M57" s="68"/>
    </row>
    <row r="58" spans="1:14" x14ac:dyDescent="0.25">
      <c r="A58" s="68"/>
      <c r="B58" s="68"/>
      <c r="C58" s="71"/>
      <c r="D58" s="68"/>
      <c r="E58" s="68"/>
      <c r="F58" s="68"/>
      <c r="G58" s="59"/>
      <c r="H58" s="68"/>
      <c r="I58" s="68"/>
      <c r="J58" s="68"/>
      <c r="K58" s="68"/>
      <c r="L58" s="68"/>
      <c r="M58" s="68"/>
    </row>
    <row r="59" spans="1:14" x14ac:dyDescent="0.25">
      <c r="A59" s="68"/>
      <c r="B59" s="68"/>
      <c r="C59" s="68"/>
      <c r="D59" s="68"/>
      <c r="E59" s="68"/>
      <c r="G59" s="68"/>
      <c r="H59" s="68"/>
      <c r="I59" s="68"/>
      <c r="J59" s="93"/>
      <c r="K59" s="68"/>
      <c r="L59" s="68"/>
      <c r="M59" s="68"/>
    </row>
    <row r="60" spans="1:14" x14ac:dyDescent="0.25">
      <c r="J60" s="93"/>
    </row>
    <row r="61" spans="1:14" x14ac:dyDescent="0.25">
      <c r="J61" s="93"/>
    </row>
  </sheetData>
  <sheetProtection sheet="1"/>
  <mergeCells count="1">
    <mergeCell ref="B40:D40"/>
  </mergeCells>
  <phoneticPr fontId="0" type="noConversion"/>
  <printOptions horizontalCentered="1" gridLinesSet="0"/>
  <pageMargins left="0.33" right="0.33" top="0.41" bottom="0.5" header="0.21" footer="0.13"/>
  <pageSetup scale="95"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42"/>
  <sheetViews>
    <sheetView showGridLines="0" topLeftCell="A7" zoomScaleNormal="100" workbookViewId="0">
      <selection activeCell="I11" sqref="I11"/>
    </sheetView>
  </sheetViews>
  <sheetFormatPr defaultRowHeight="13.5" x14ac:dyDescent="0.25"/>
  <cols>
    <col min="1" max="1" width="4.125" style="165" customWidth="1"/>
    <col min="2" max="2" width="16.5" style="165" bestFit="1" customWidth="1"/>
    <col min="3" max="5" width="9" style="165"/>
    <col min="6" max="6" width="6.25" style="165" customWidth="1"/>
    <col min="7" max="16384" width="9" style="165"/>
  </cols>
  <sheetData>
    <row r="7" spans="2:9" x14ac:dyDescent="0.25">
      <c r="B7" s="3"/>
      <c r="C7" s="5"/>
      <c r="D7" s="5"/>
      <c r="E7" s="14"/>
      <c r="F7" s="5"/>
      <c r="G7" s="5"/>
      <c r="H7" s="5"/>
    </row>
    <row r="8" spans="2:9" x14ac:dyDescent="0.25">
      <c r="B8" s="3"/>
      <c r="C8" s="5"/>
      <c r="D8" s="5"/>
      <c r="E8" s="5"/>
      <c r="F8" s="5"/>
      <c r="G8" s="5"/>
      <c r="H8" s="5"/>
    </row>
    <row r="9" spans="2:9" ht="12.75" customHeight="1" x14ac:dyDescent="0.35">
      <c r="B9" s="3"/>
      <c r="C9" s="5"/>
      <c r="D9" s="13"/>
      <c r="E9" s="5"/>
      <c r="F9" s="5"/>
      <c r="G9" s="5"/>
    </row>
    <row r="10" spans="2:9" x14ac:dyDescent="0.25">
      <c r="B10" s="3"/>
      <c r="C10" s="5"/>
      <c r="D10" s="5"/>
      <c r="E10" s="5"/>
      <c r="F10" s="5"/>
      <c r="G10" s="5"/>
      <c r="I10" s="15" t="s">
        <v>43</v>
      </c>
    </row>
    <row r="11" spans="2:9" x14ac:dyDescent="0.25">
      <c r="B11" s="3"/>
      <c r="C11" s="5"/>
      <c r="D11" s="5"/>
      <c r="E11" s="5"/>
      <c r="F11" s="5"/>
      <c r="H11" s="15" t="s">
        <v>43</v>
      </c>
      <c r="I11" s="47">
        <v>286.04000000000002</v>
      </c>
    </row>
    <row r="12" spans="2:9" x14ac:dyDescent="0.25">
      <c r="B12" s="3"/>
      <c r="C12" s="5"/>
      <c r="D12" s="5"/>
      <c r="E12" s="5"/>
      <c r="F12" s="5"/>
      <c r="G12" s="15" t="s">
        <v>43</v>
      </c>
      <c r="H12" s="47">
        <v>279.2</v>
      </c>
    </row>
    <row r="13" spans="2:9" x14ac:dyDescent="0.25">
      <c r="B13" s="3"/>
      <c r="C13" s="5"/>
      <c r="D13" s="5"/>
      <c r="E13" s="15" t="s">
        <v>43</v>
      </c>
      <c r="F13" s="5"/>
      <c r="G13" s="47">
        <v>256.39999999999998</v>
      </c>
      <c r="H13" s="5"/>
    </row>
    <row r="14" spans="2:9" x14ac:dyDescent="0.25">
      <c r="B14" s="53"/>
      <c r="C14" s="5"/>
      <c r="D14" s="5"/>
      <c r="E14" s="47">
        <v>46.47</v>
      </c>
      <c r="F14" s="5"/>
      <c r="G14" s="5"/>
      <c r="H14" s="5"/>
    </row>
    <row r="15" spans="2:9" x14ac:dyDescent="0.25">
      <c r="B15" s="3"/>
      <c r="C15" s="5"/>
      <c r="D15" s="20" t="s">
        <v>50</v>
      </c>
      <c r="E15" s="21">
        <f>ASIN(E14/Wing!C17)*(180/(PI()))</f>
        <v>2.9997202905044098</v>
      </c>
      <c r="F15" s="22"/>
      <c r="G15" s="21">
        <f>IF(Wing!F17=0,0,ASIN((G13-E14)/Wing!F17)*(180/(PI())))</f>
        <v>17.000593798442086</v>
      </c>
      <c r="H15" s="21">
        <f>IF(Wing!H17=0,0,ASIN((H12-G13)/Wing!H17)*(180/(PI())))</f>
        <v>16.996164817051891</v>
      </c>
      <c r="I15" s="21">
        <f>IF(Wing!J17=0,0,ASIN((I11-H12)/Wing!J17)*(180/(PI())))</f>
        <v>19.998771807909979</v>
      </c>
    </row>
    <row r="16" spans="2:9" x14ac:dyDescent="0.25">
      <c r="B16" s="3"/>
      <c r="C16" s="5"/>
      <c r="D16" s="20"/>
      <c r="E16" s="21"/>
      <c r="F16" s="22"/>
      <c r="G16" s="21"/>
      <c r="H16" s="21"/>
      <c r="I16" s="21"/>
    </row>
    <row r="22" spans="3:4" x14ac:dyDescent="0.25">
      <c r="C22" s="14" t="s">
        <v>1</v>
      </c>
      <c r="D22" s="14" t="s">
        <v>2</v>
      </c>
    </row>
    <row r="23" spans="3:4" x14ac:dyDescent="0.25">
      <c r="C23" s="19">
        <v>0</v>
      </c>
      <c r="D23" s="19">
        <v>0</v>
      </c>
    </row>
    <row r="24" spans="3:4" x14ac:dyDescent="0.25">
      <c r="C24" s="19">
        <f>Wing!C17</f>
        <v>888</v>
      </c>
      <c r="D24" s="19">
        <f>E14</f>
        <v>46.47</v>
      </c>
    </row>
    <row r="25" spans="3:4" x14ac:dyDescent="0.25">
      <c r="C25" s="19">
        <f>IF(Wing!C17=0,C24,Wing!C17+Wing!F17)</f>
        <v>1606</v>
      </c>
      <c r="D25" s="19">
        <f>IF(G15=0,D24,G13)</f>
        <v>256.39999999999998</v>
      </c>
    </row>
    <row r="26" spans="3:4" x14ac:dyDescent="0.25">
      <c r="C26" s="19">
        <f>IF(Wing!H17=0,C25,Wing!C17+Wing!F17+Wing!H17)</f>
        <v>1684</v>
      </c>
      <c r="D26" s="19">
        <f>IF(H15=0,D25,H12)</f>
        <v>279.2</v>
      </c>
    </row>
    <row r="27" spans="3:4" x14ac:dyDescent="0.25">
      <c r="C27" s="19">
        <f>IF(Wing!J17=0,C26,Wing!C17+Wing!F17+Wing!H17+Wing!J17)</f>
        <v>1704</v>
      </c>
      <c r="D27" s="19">
        <f>IF(I15=0,D26,I11)</f>
        <v>286.04000000000002</v>
      </c>
    </row>
    <row r="38" spans="2:9" ht="15.75" x14ac:dyDescent="0.25">
      <c r="B38" s="271" t="s">
        <v>270</v>
      </c>
      <c r="C38" s="255"/>
      <c r="D38" s="255"/>
    </row>
    <row r="39" spans="2:9" ht="15.75" x14ac:dyDescent="0.25">
      <c r="B39" s="271"/>
      <c r="C39" s="279" t="s">
        <v>262</v>
      </c>
      <c r="D39" s="280"/>
      <c r="E39" s="279" t="s">
        <v>263</v>
      </c>
      <c r="F39" s="281"/>
      <c r="G39" s="279" t="s">
        <v>264</v>
      </c>
      <c r="H39" s="281"/>
      <c r="I39" s="279" t="s">
        <v>265</v>
      </c>
    </row>
    <row r="40" spans="2:9" x14ac:dyDescent="0.25">
      <c r="B40" s="255" t="s">
        <v>266</v>
      </c>
      <c r="C40" s="282">
        <f>Wing!C17</f>
        <v>888</v>
      </c>
      <c r="D40" s="255"/>
      <c r="E40" s="282">
        <f>Wing!F17</f>
        <v>718</v>
      </c>
      <c r="G40" s="282">
        <f>Wing!H17</f>
        <v>78</v>
      </c>
      <c r="I40" s="282">
        <f>Wing!J17</f>
        <v>20</v>
      </c>
    </row>
    <row r="41" spans="2:9" x14ac:dyDescent="0.25">
      <c r="B41" s="283" t="s">
        <v>267</v>
      </c>
      <c r="C41" s="287">
        <v>3</v>
      </c>
      <c r="D41" s="255"/>
      <c r="E41" s="287">
        <v>17</v>
      </c>
      <c r="G41" s="287">
        <v>17</v>
      </c>
      <c r="I41" s="287">
        <v>20</v>
      </c>
    </row>
    <row r="42" spans="2:9" x14ac:dyDescent="0.25">
      <c r="B42" s="255" t="s">
        <v>268</v>
      </c>
      <c r="C42" s="284">
        <f>SIN(RADIANS(C41))*C40</f>
        <v>46.474329143734124</v>
      </c>
      <c r="D42" s="255"/>
      <c r="E42" s="284">
        <f>SIN(RADIANS(E41))*E40+C42</f>
        <v>256.39721313465913</v>
      </c>
      <c r="G42" s="284">
        <f>SIN(RADIANS(G41))*G40+(E42)</f>
        <v>279.20220610303261</v>
      </c>
      <c r="I42" s="284">
        <f>SIN(RADIANS(I41))*I40+G42</f>
        <v>286.042608969546</v>
      </c>
    </row>
  </sheetData>
  <sheetProtection sheet="1" objects="1" scenarios="1"/>
  <phoneticPr fontId="31" type="noConversion"/>
  <printOptions horizontalCentered="1"/>
  <pageMargins left="0.75" right="0.75" top="1" bottom="1" header="0.5" footer="0.5"/>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28"/>
  <sheetViews>
    <sheetView showGridLines="0" topLeftCell="A4" zoomScaleNormal="100" workbookViewId="0">
      <selection activeCell="D7" sqref="D7"/>
    </sheetView>
  </sheetViews>
  <sheetFormatPr defaultColWidth="8" defaultRowHeight="12.75" x14ac:dyDescent="0.25"/>
  <cols>
    <col min="1" max="1" width="3.125" style="184" customWidth="1"/>
    <col min="2" max="2" width="14.25" style="184" customWidth="1"/>
    <col min="3" max="3" width="9.875" style="185" customWidth="1"/>
    <col min="4" max="4" width="31.5" style="185" customWidth="1"/>
    <col min="5" max="5" width="35.625" style="185" customWidth="1"/>
    <col min="6" max="6" width="42.75" style="185" customWidth="1"/>
    <col min="7" max="7" width="6.125" style="246" customWidth="1"/>
    <col min="8" max="8" width="5.125" style="187" customWidth="1"/>
    <col min="9" max="9" width="20.25" style="184" bestFit="1" customWidth="1"/>
    <col min="10" max="10" width="14.375" style="184" bestFit="1" customWidth="1"/>
    <col min="11" max="11" width="5.25" style="184" bestFit="1" customWidth="1"/>
    <col min="12" max="12" width="7.25" style="184" bestFit="1" customWidth="1"/>
    <col min="13" max="13" width="9.125" style="184" customWidth="1"/>
    <col min="14" max="14" width="8.875" style="184" bestFit="1" customWidth="1"/>
    <col min="15" max="16384" width="8" style="184"/>
  </cols>
  <sheetData>
    <row r="2" spans="2:11" ht="23.25" x14ac:dyDescent="0.25">
      <c r="F2" s="186"/>
      <c r="G2" s="240"/>
    </row>
    <row r="3" spans="2:11" ht="23.25" x14ac:dyDescent="0.25">
      <c r="F3" s="186"/>
      <c r="G3" s="240"/>
    </row>
    <row r="4" spans="2:11" ht="16.5" customHeight="1" x14ac:dyDescent="0.25">
      <c r="F4" s="186"/>
      <c r="G4" s="240"/>
    </row>
    <row r="5" spans="2:11" s="201" customFormat="1" ht="30.75" thickBot="1" x14ac:dyDescent="0.3">
      <c r="B5" s="198" t="s">
        <v>67</v>
      </c>
      <c r="C5" s="198" t="s">
        <v>60</v>
      </c>
      <c r="D5" s="198" t="s">
        <v>45</v>
      </c>
      <c r="E5" s="199" t="s">
        <v>158</v>
      </c>
      <c r="F5" s="200" t="s">
        <v>159</v>
      </c>
      <c r="G5" s="241"/>
      <c r="H5" s="202"/>
    </row>
    <row r="6" spans="2:11" ht="28.5" customHeight="1" thickTop="1" x14ac:dyDescent="0.25">
      <c r="B6" s="66" t="s">
        <v>205</v>
      </c>
      <c r="C6" s="50">
        <v>0.7</v>
      </c>
      <c r="D6" s="61" t="s">
        <v>213</v>
      </c>
      <c r="E6" s="35" t="s">
        <v>44</v>
      </c>
      <c r="F6" s="188"/>
      <c r="G6" s="242"/>
      <c r="I6" s="185"/>
    </row>
    <row r="7" spans="2:11" ht="140.25" x14ac:dyDescent="0.25">
      <c r="B7" s="64" t="s">
        <v>174</v>
      </c>
      <c r="C7" s="37">
        <f>(C11)*((Wing!B25+'Vertical Stabilizer'!D41+(Wing!B14-Wing!C43))/(Wing!C35))/(C6)</f>
        <v>5.3129403851367414</v>
      </c>
      <c r="D7" s="60" t="s">
        <v>215</v>
      </c>
      <c r="E7" s="65" t="s">
        <v>164</v>
      </c>
      <c r="F7" s="60" t="s">
        <v>165</v>
      </c>
      <c r="G7" s="242"/>
      <c r="H7" s="189"/>
      <c r="I7" s="185"/>
      <c r="J7" s="190"/>
    </row>
    <row r="8" spans="2:11" ht="76.5" x14ac:dyDescent="0.25">
      <c r="B8" s="64" t="s">
        <v>175</v>
      </c>
      <c r="C8" s="38">
        <f>('Horizontal Stabilizer'!D24/Wing!C48)*((Wing!B21+'Horizontal Stabilizer'!D35)+(0.75*(Wing!C49+Wing!C42)))/Wing!C49</f>
        <v>0.39110042384967131</v>
      </c>
      <c r="D8" s="60" t="s">
        <v>168</v>
      </c>
      <c r="E8" s="60" t="s">
        <v>160</v>
      </c>
      <c r="F8" s="60" t="s">
        <v>161</v>
      </c>
      <c r="G8" s="242"/>
      <c r="H8" s="189"/>
      <c r="I8" s="190"/>
    </row>
    <row r="9" spans="2:11" ht="114.75" x14ac:dyDescent="0.25">
      <c r="B9" s="64" t="s">
        <v>176</v>
      </c>
      <c r="C9" s="45">
        <f>('Vertical Stabilizer'!D35/Wing!C48)*(((Wing!B25+'Vertical Stabilizer'!D41)+(0.75*(Wing!C49+Wing!C42)))/Wing!C47)</f>
        <v>2.6953614618881371E-2</v>
      </c>
      <c r="D9" s="60" t="s">
        <v>169</v>
      </c>
      <c r="E9" s="65" t="s">
        <v>162</v>
      </c>
      <c r="F9" s="60" t="s">
        <v>163</v>
      </c>
      <c r="G9" s="243"/>
      <c r="H9" s="189"/>
      <c r="I9" s="185"/>
    </row>
    <row r="10" spans="2:11" ht="51" x14ac:dyDescent="0.25">
      <c r="B10" s="64" t="s">
        <v>177</v>
      </c>
      <c r="C10" s="203">
        <f>C9*C7</f>
        <v>0.14320294763406688</v>
      </c>
      <c r="D10" s="60" t="s">
        <v>214</v>
      </c>
      <c r="E10" s="67" t="s">
        <v>166</v>
      </c>
      <c r="F10" s="60" t="s">
        <v>172</v>
      </c>
      <c r="G10" s="242"/>
      <c r="H10" s="189"/>
      <c r="I10" s="185"/>
    </row>
    <row r="11" spans="2:11" ht="63.75" x14ac:dyDescent="0.25">
      <c r="B11" s="64" t="s">
        <v>173</v>
      </c>
      <c r="C11" s="37">
        <f>((C24-C25)*('Wing Dihedral'!E15)+((C25-C26)*('Wing Dihedral'!G15)+((C26-C27)*('Wing Dihedral'!H15)+((C27-C28)*('Wing Dihedral'!I15)))))</f>
        <v>11.714563889077866</v>
      </c>
      <c r="D11" s="60" t="s">
        <v>170</v>
      </c>
      <c r="E11" s="164" t="s">
        <v>167</v>
      </c>
      <c r="F11" s="60" t="s">
        <v>171</v>
      </c>
      <c r="G11" s="242"/>
      <c r="H11" s="189"/>
      <c r="I11" s="185"/>
    </row>
    <row r="12" spans="2:11" x14ac:dyDescent="0.25">
      <c r="B12" s="39"/>
      <c r="C12" s="40"/>
      <c r="D12" s="40"/>
      <c r="E12" s="40"/>
      <c r="F12" s="41"/>
      <c r="G12" s="244"/>
      <c r="H12" s="42"/>
      <c r="I12" s="36"/>
      <c r="J12" s="189"/>
      <c r="K12" s="185"/>
    </row>
    <row r="13" spans="2:11" x14ac:dyDescent="0.25">
      <c r="B13" s="39"/>
      <c r="C13" s="40"/>
      <c r="D13" s="40"/>
      <c r="E13" s="40"/>
      <c r="F13" s="41"/>
      <c r="G13" s="244"/>
      <c r="H13" s="42"/>
      <c r="I13" s="36"/>
      <c r="J13" s="189"/>
      <c r="K13" s="185"/>
    </row>
    <row r="14" spans="2:11" x14ac:dyDescent="0.25">
      <c r="B14" s="39"/>
      <c r="C14" s="40"/>
      <c r="D14" s="40"/>
      <c r="E14" s="40"/>
      <c r="F14" s="41"/>
      <c r="G14" s="244"/>
      <c r="H14" s="42"/>
      <c r="I14" s="36"/>
      <c r="J14" s="189"/>
      <c r="K14" s="185"/>
    </row>
    <row r="15" spans="2:11" x14ac:dyDescent="0.25">
      <c r="C15" s="43"/>
      <c r="D15" s="43"/>
      <c r="E15" s="43"/>
      <c r="F15" s="42"/>
      <c r="G15" s="244"/>
      <c r="H15" s="42"/>
      <c r="I15" s="36"/>
      <c r="J15" s="189"/>
      <c r="K15" s="185"/>
    </row>
    <row r="16" spans="2:11" x14ac:dyDescent="0.25">
      <c r="B16" s="102" t="s">
        <v>46</v>
      </c>
      <c r="G16" s="245"/>
      <c r="H16" s="189"/>
      <c r="I16" s="187"/>
      <c r="J16" s="187"/>
      <c r="K16" s="185"/>
    </row>
    <row r="17" spans="2:11" x14ac:dyDescent="0.25">
      <c r="B17" s="247" t="s">
        <v>222</v>
      </c>
      <c r="G17" s="245"/>
      <c r="H17" s="189"/>
      <c r="I17" s="187"/>
      <c r="J17" s="187"/>
      <c r="K17" s="185"/>
    </row>
    <row r="18" spans="2:11" x14ac:dyDescent="0.25">
      <c r="B18" s="185" t="s">
        <v>20</v>
      </c>
      <c r="C18" s="190">
        <f>0/(Wing!C17+Wing!F17+Wing!H17+Wing!J17)</f>
        <v>0</v>
      </c>
      <c r="D18" s="191"/>
      <c r="E18" s="191"/>
      <c r="F18" s="192"/>
      <c r="H18" s="189"/>
      <c r="I18" s="187"/>
      <c r="J18" s="187"/>
    </row>
    <row r="19" spans="2:11" x14ac:dyDescent="0.25">
      <c r="B19" s="185" t="s">
        <v>21</v>
      </c>
      <c r="C19" s="190">
        <f>IF(Wing!C17=0,"0",(Wing!C17/(Wing!C17+Wing!F17+Wing!H17+Wing!J17)))</f>
        <v>0.52112676056338025</v>
      </c>
      <c r="D19" s="184"/>
      <c r="E19" s="184"/>
      <c r="F19" s="184"/>
      <c r="G19" s="245"/>
      <c r="H19" s="189"/>
    </row>
    <row r="20" spans="2:11" x14ac:dyDescent="0.25">
      <c r="B20" s="185" t="s">
        <v>22</v>
      </c>
      <c r="C20" s="190">
        <f>IF(Wing!F17=0,"0",(Wing!C17+Wing!F17)/(Wing!C17+Wing!F17+Wing!H17+Wing!J17))</f>
        <v>0.94248826291079812</v>
      </c>
      <c r="D20" s="191"/>
      <c r="E20" s="191"/>
      <c r="F20" s="192"/>
      <c r="G20" s="245"/>
      <c r="H20" s="189"/>
    </row>
    <row r="21" spans="2:11" x14ac:dyDescent="0.25">
      <c r="B21" s="185" t="s">
        <v>23</v>
      </c>
      <c r="C21" s="190">
        <f>IF(Wing!H17=0,"0",((Wing!C17+Wing!F17+Wing!H17)/(Wing!C17+Wing!F17+Wing!H17+Wing!J17)))</f>
        <v>0.98826291079812212</v>
      </c>
      <c r="D21" s="191"/>
      <c r="E21" s="191"/>
      <c r="F21" s="192"/>
      <c r="G21" s="245"/>
      <c r="H21" s="189"/>
    </row>
    <row r="22" spans="2:11" x14ac:dyDescent="0.25">
      <c r="B22" s="185" t="s">
        <v>126</v>
      </c>
      <c r="C22" s="190">
        <f>IF(Wing!J17=0,"0",((Wing!C17+Wing!F17+Wing!H17+Wing!J17)/(Wing!C17+Wing!F17+Wing!H17+Wing!J17)))</f>
        <v>1</v>
      </c>
      <c r="D22" s="191"/>
      <c r="E22" s="191"/>
      <c r="F22" s="192"/>
      <c r="G22" s="245"/>
      <c r="H22" s="189"/>
    </row>
    <row r="23" spans="2:11" x14ac:dyDescent="0.25">
      <c r="B23" s="185"/>
      <c r="D23" s="192"/>
      <c r="E23" s="192"/>
      <c r="F23" s="192"/>
    </row>
    <row r="24" spans="2:11" x14ac:dyDescent="0.25">
      <c r="B24" s="185" t="s">
        <v>24</v>
      </c>
      <c r="C24" s="239">
        <f>(1-C18^2)^1.5</f>
        <v>1</v>
      </c>
      <c r="D24" s="193"/>
      <c r="E24" s="193"/>
      <c r="F24" s="192"/>
    </row>
    <row r="25" spans="2:11" x14ac:dyDescent="0.25">
      <c r="B25" s="185" t="s">
        <v>25</v>
      </c>
      <c r="C25" s="239">
        <f>(1-C19^2)^1.5</f>
        <v>0.62169727335006009</v>
      </c>
      <c r="D25" s="190"/>
      <c r="E25" s="190"/>
    </row>
    <row r="26" spans="2:11" x14ac:dyDescent="0.25">
      <c r="B26" s="185" t="s">
        <v>26</v>
      </c>
      <c r="C26" s="239">
        <f>(1-C20^2)^1.5</f>
        <v>3.7339829702479906E-2</v>
      </c>
      <c r="D26" s="190"/>
      <c r="E26" s="190"/>
    </row>
    <row r="27" spans="2:11" x14ac:dyDescent="0.25">
      <c r="B27" s="185" t="s">
        <v>27</v>
      </c>
      <c r="C27" s="239">
        <f>(1-C21^2)^1.5</f>
        <v>3.5649326112173136E-3</v>
      </c>
      <c r="D27" s="190"/>
      <c r="E27" s="190"/>
    </row>
    <row r="28" spans="2:11" x14ac:dyDescent="0.25">
      <c r="B28" s="185" t="s">
        <v>125</v>
      </c>
      <c r="C28" s="239">
        <f>(1-C22^2)^1.5</f>
        <v>0</v>
      </c>
    </row>
  </sheetData>
  <sheetProtection sheet="1" objects="1" scenarios="1"/>
  <phoneticPr fontId="1" type="noConversion"/>
  <printOptions horizontalCentered="1"/>
  <pageMargins left="0.5" right="0.5" top="0.5" bottom="0.5" header="0.25" footer="0.26"/>
  <pageSetup scale="85" orientation="landscape" horizontalDpi="4294967294" verticalDpi="4294967294"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57"/>
  <sheetViews>
    <sheetView showGridLines="0" topLeftCell="A31" workbookViewId="0"/>
  </sheetViews>
  <sheetFormatPr defaultColWidth="8" defaultRowHeight="12.75" x14ac:dyDescent="0.25"/>
  <cols>
    <col min="1" max="1" width="3.375" style="166" customWidth="1"/>
    <col min="2" max="2" width="43.5" style="166" customWidth="1"/>
    <col min="3" max="3" width="8" style="171" customWidth="1"/>
    <col min="4" max="4" width="25.125" style="166" bestFit="1" customWidth="1"/>
    <col min="5" max="5" width="9.625" style="171" bestFit="1" customWidth="1"/>
    <col min="6" max="6" width="22.875" style="166" bestFit="1" customWidth="1"/>
    <col min="7" max="16384" width="8" style="166"/>
  </cols>
  <sheetData>
    <row r="6" spans="2:6" ht="15.75" x14ac:dyDescent="0.25">
      <c r="C6" s="259" t="s">
        <v>240</v>
      </c>
      <c r="E6" s="259" t="s">
        <v>241</v>
      </c>
    </row>
    <row r="7" spans="2:6" ht="15.75" x14ac:dyDescent="0.25">
      <c r="B7" s="305" t="s">
        <v>134</v>
      </c>
      <c r="C7" s="306"/>
      <c r="D7" s="211"/>
    </row>
    <row r="8" spans="2:6" x14ac:dyDescent="0.25">
      <c r="B8" s="212" t="s">
        <v>14</v>
      </c>
      <c r="C8" s="183">
        <f>Wing!C35</f>
        <v>3408</v>
      </c>
      <c r="D8" s="212" t="s">
        <v>223</v>
      </c>
      <c r="E8" s="178">
        <f>C8*0.03936996</f>
        <v>134.17282368000002</v>
      </c>
      <c r="F8" s="175" t="s">
        <v>234</v>
      </c>
    </row>
    <row r="9" spans="2:6" ht="14.25" x14ac:dyDescent="0.25">
      <c r="B9" s="212" t="s">
        <v>15</v>
      </c>
      <c r="C9" s="183">
        <f>Wing!C36</f>
        <v>89.669999999999987</v>
      </c>
      <c r="D9" s="145" t="s">
        <v>227</v>
      </c>
      <c r="E9" s="178">
        <f>C9*1550.003/100</f>
        <v>1389.8876900999996</v>
      </c>
      <c r="F9" s="175" t="s">
        <v>238</v>
      </c>
    </row>
    <row r="10" spans="2:6" ht="14.25" x14ac:dyDescent="0.25">
      <c r="B10" s="212" t="s">
        <v>16</v>
      </c>
      <c r="C10" s="183">
        <f>Wing!C37</f>
        <v>18.735362997658083</v>
      </c>
      <c r="D10" s="145" t="s">
        <v>228</v>
      </c>
      <c r="E10" s="178">
        <f>C10*0.327868852459</f>
        <v>6.1427419664449658</v>
      </c>
      <c r="F10" s="175" t="s">
        <v>239</v>
      </c>
    </row>
    <row r="11" spans="2:6" x14ac:dyDescent="0.25">
      <c r="B11" s="213" t="s">
        <v>17</v>
      </c>
      <c r="C11" s="183">
        <f>Wing!C38</f>
        <v>263.11619718309856</v>
      </c>
      <c r="D11" s="213" t="s">
        <v>223</v>
      </c>
      <c r="E11" s="178">
        <f>C11*0.03936996</f>
        <v>10.358874158450703</v>
      </c>
      <c r="F11" s="175" t="s">
        <v>234</v>
      </c>
    </row>
    <row r="12" spans="2:6" x14ac:dyDescent="0.25">
      <c r="B12" s="213" t="s">
        <v>153</v>
      </c>
      <c r="C12" s="183">
        <f>Wing!C39</f>
        <v>273.86582803613248</v>
      </c>
      <c r="D12" s="212" t="s">
        <v>223</v>
      </c>
      <c r="E12" s="178">
        <f>C12*0.03936996</f>
        <v>10.782086695149415</v>
      </c>
      <c r="F12" s="175" t="s">
        <v>235</v>
      </c>
    </row>
    <row r="13" spans="2:6" x14ac:dyDescent="0.25">
      <c r="B13" s="213" t="s">
        <v>221</v>
      </c>
      <c r="C13" s="183">
        <f>Wing!C40</f>
        <v>12.952452325192374</v>
      </c>
      <c r="D13" s="212"/>
      <c r="E13" s="178">
        <f>C13</f>
        <v>12.952452325192374</v>
      </c>
    </row>
    <row r="14" spans="2:6" x14ac:dyDescent="0.25">
      <c r="B14" s="213" t="s">
        <v>242</v>
      </c>
      <c r="C14" s="183">
        <f>Wing!C41</f>
        <v>0.75410798122065703</v>
      </c>
      <c r="D14" s="212"/>
      <c r="E14" s="178">
        <f>C14</f>
        <v>0.75410798122065703</v>
      </c>
    </row>
    <row r="15" spans="2:6" x14ac:dyDescent="0.25">
      <c r="B15" s="212" t="s">
        <v>19</v>
      </c>
      <c r="C15" s="183">
        <f>Wing!C43</f>
        <v>78.145654064904662</v>
      </c>
      <c r="D15" s="212" t="s">
        <v>229</v>
      </c>
      <c r="E15" s="178">
        <f>C15*0.03936996</f>
        <v>3.0765912747091342</v>
      </c>
      <c r="F15" s="175" t="s">
        <v>236</v>
      </c>
    </row>
    <row r="16" spans="2:6" x14ac:dyDescent="0.25">
      <c r="B16" s="213" t="s">
        <v>216</v>
      </c>
      <c r="C16" s="183">
        <f>Wing!C47</f>
        <v>3333.590378438746</v>
      </c>
      <c r="D16" s="213" t="s">
        <v>223</v>
      </c>
      <c r="E16" s="178">
        <f>C16*0.03936996</f>
        <v>131.24331985551831</v>
      </c>
      <c r="F16" s="175" t="s">
        <v>234</v>
      </c>
    </row>
    <row r="17" spans="2:6" ht="14.25" x14ac:dyDescent="0.25">
      <c r="B17" s="213" t="s">
        <v>217</v>
      </c>
      <c r="C17" s="183">
        <f>Wing!C48</f>
        <v>88.003476915390237</v>
      </c>
      <c r="D17" s="145" t="s">
        <v>227</v>
      </c>
      <c r="E17" s="178">
        <f>C17*1550.003/100</f>
        <v>1364.0565322928562</v>
      </c>
      <c r="F17" s="175" t="s">
        <v>238</v>
      </c>
    </row>
    <row r="18" spans="2:6" ht="14.25" x14ac:dyDescent="0.25">
      <c r="B18" s="213" t="s">
        <v>218</v>
      </c>
      <c r="C18" s="183">
        <f>Wing!C50</f>
        <v>19.090154831214377</v>
      </c>
      <c r="D18" s="145" t="s">
        <v>228</v>
      </c>
      <c r="E18" s="178">
        <f>C18*0.327868852459</f>
        <v>6.2590671577748926</v>
      </c>
      <c r="F18" s="175" t="s">
        <v>239</v>
      </c>
    </row>
    <row r="19" spans="2:6" x14ac:dyDescent="0.25">
      <c r="B19" s="213" t="s">
        <v>219</v>
      </c>
      <c r="C19" s="183">
        <f>Wing!C51</f>
        <v>12.627711086805874</v>
      </c>
      <c r="D19" s="212"/>
      <c r="E19" s="178">
        <f>C19</f>
        <v>12.627711086805874</v>
      </c>
    </row>
    <row r="21" spans="2:6" ht="15.75" x14ac:dyDescent="0.25">
      <c r="B21" s="167" t="s">
        <v>136</v>
      </c>
      <c r="C21" s="168"/>
      <c r="D21" s="169"/>
    </row>
    <row r="22" spans="2:6" x14ac:dyDescent="0.25">
      <c r="B22" s="214" t="s">
        <v>14</v>
      </c>
      <c r="C22" s="180">
        <f>'Horizontal Stabilizer'!D23</f>
        <v>706</v>
      </c>
      <c r="D22" s="214" t="s">
        <v>223</v>
      </c>
      <c r="E22" s="178">
        <f>C22*0.03936996</f>
        <v>27.795191760000002</v>
      </c>
      <c r="F22" s="175" t="s">
        <v>234</v>
      </c>
    </row>
    <row r="23" spans="2:6" ht="14.25" x14ac:dyDescent="0.25">
      <c r="B23" s="214" t="s">
        <v>15</v>
      </c>
      <c r="C23" s="181">
        <f>'Horizontal Stabilizer'!D24</f>
        <v>9.6722000000000001</v>
      </c>
      <c r="D23" s="145" t="s">
        <v>227</v>
      </c>
      <c r="E23" s="178">
        <f>C23*1550.003/100</f>
        <v>149.919390166</v>
      </c>
      <c r="F23" s="175" t="s">
        <v>238</v>
      </c>
    </row>
    <row r="24" spans="2:6" x14ac:dyDescent="0.25">
      <c r="B24" s="214" t="s">
        <v>17</v>
      </c>
      <c r="C24" s="181">
        <f>'Horizontal Stabilizer'!D25</f>
        <v>137</v>
      </c>
      <c r="D24" s="214" t="s">
        <v>223</v>
      </c>
      <c r="E24" s="178">
        <f>C24*0.03936996</f>
        <v>5.3936845200000008</v>
      </c>
      <c r="F24" s="175" t="s">
        <v>234</v>
      </c>
    </row>
    <row r="25" spans="2:6" x14ac:dyDescent="0.25">
      <c r="B25" s="266" t="s">
        <v>221</v>
      </c>
      <c r="C25" s="182">
        <f>'Horizontal Stabilizer'!D27</f>
        <v>5.1532846715328464</v>
      </c>
      <c r="D25" s="215"/>
      <c r="E25" s="178">
        <f>C25</f>
        <v>5.1532846715328464</v>
      </c>
    </row>
    <row r="26" spans="2:6" x14ac:dyDescent="0.25">
      <c r="B26" s="266" t="s">
        <v>242</v>
      </c>
      <c r="C26" s="182">
        <f>'Horizontal Stabilizer'!D28</f>
        <v>0.46524064171123003</v>
      </c>
      <c r="D26" s="215"/>
      <c r="E26" s="178">
        <f>C26</f>
        <v>0.46524064171123003</v>
      </c>
    </row>
    <row r="27" spans="2:6" x14ac:dyDescent="0.25">
      <c r="B27" s="266" t="s">
        <v>243</v>
      </c>
      <c r="C27" s="182">
        <f>'Horizontal Stabilizer'!D29</f>
        <v>10.786439165830268</v>
      </c>
      <c r="D27" s="267" t="s">
        <v>207</v>
      </c>
      <c r="E27" s="178">
        <f>C27</f>
        <v>10.786439165830268</v>
      </c>
      <c r="F27" s="166" t="s">
        <v>207</v>
      </c>
    </row>
    <row r="28" spans="2:6" x14ac:dyDescent="0.25">
      <c r="B28" s="216" t="s">
        <v>19</v>
      </c>
      <c r="C28" s="181">
        <f>'Horizontal Stabilizer'!D35</f>
        <v>69.147810218978094</v>
      </c>
      <c r="D28" s="175" t="s">
        <v>229</v>
      </c>
      <c r="E28" s="178">
        <f>C28*0.03936996</f>
        <v>2.7223465224087589</v>
      </c>
      <c r="F28" s="175" t="s">
        <v>236</v>
      </c>
    </row>
    <row r="29" spans="2:6" x14ac:dyDescent="0.25">
      <c r="B29" s="216" t="s">
        <v>269</v>
      </c>
      <c r="C29" s="181">
        <f>(Wing!B14-Wing!C43)+Wing!B21+'Horizontal Stabilizer'!D35</f>
        <v>956.00215615407342</v>
      </c>
      <c r="D29" s="175" t="s">
        <v>223</v>
      </c>
      <c r="E29" s="178">
        <f>C29*0.03936996</f>
        <v>37.637766647699628</v>
      </c>
      <c r="F29" s="175" t="s">
        <v>234</v>
      </c>
    </row>
    <row r="30" spans="2:6" x14ac:dyDescent="0.25">
      <c r="B30" s="216"/>
      <c r="C30" s="170"/>
    </row>
    <row r="31" spans="2:6" ht="15.75" x14ac:dyDescent="0.25">
      <c r="B31" s="307" t="s">
        <v>135</v>
      </c>
      <c r="C31" s="307"/>
    </row>
    <row r="32" spans="2:6" x14ac:dyDescent="0.25">
      <c r="B32" s="214" t="s">
        <v>14</v>
      </c>
      <c r="C32" s="180">
        <f>'Vertical Stabilizer'!D34</f>
        <v>297</v>
      </c>
      <c r="D32" s="166" t="s">
        <v>223</v>
      </c>
      <c r="E32" s="178">
        <f>C32*0.03936996</f>
        <v>11.692878120000001</v>
      </c>
      <c r="F32" s="175" t="s">
        <v>234</v>
      </c>
    </row>
    <row r="33" spans="2:6" ht="14.25" x14ac:dyDescent="0.25">
      <c r="B33" s="214" t="s">
        <v>15</v>
      </c>
      <c r="C33" s="181">
        <f>'Vertical Stabilizer'!D35</f>
        <v>7.4222999999999999</v>
      </c>
      <c r="D33" s="145" t="s">
        <v>227</v>
      </c>
      <c r="E33" s="178">
        <f>C33*1550.003/100</f>
        <v>115.045872669</v>
      </c>
      <c r="F33" s="175" t="s">
        <v>238</v>
      </c>
    </row>
    <row r="34" spans="2:6" x14ac:dyDescent="0.25">
      <c r="B34" s="214" t="s">
        <v>17</v>
      </c>
      <c r="C34" s="181">
        <f>'Vertical Stabilizer'!D36</f>
        <v>249.90909090909091</v>
      </c>
      <c r="D34" s="166" t="s">
        <v>223</v>
      </c>
      <c r="E34" s="178">
        <f>C34*0.03936996</f>
        <v>9.8389109127272736</v>
      </c>
      <c r="F34" s="175" t="s">
        <v>234</v>
      </c>
    </row>
    <row r="35" spans="2:6" x14ac:dyDescent="0.25">
      <c r="B35" s="268" t="s">
        <v>221</v>
      </c>
      <c r="C35" s="181">
        <f>'Vertical Stabilizer'!D38</f>
        <v>1.1884321571480538</v>
      </c>
      <c r="E35" s="178">
        <f>C35</f>
        <v>1.1884321571480538</v>
      </c>
      <c r="F35" s="175"/>
    </row>
    <row r="36" spans="2:6" x14ac:dyDescent="0.25">
      <c r="B36" s="268" t="s">
        <v>248</v>
      </c>
      <c r="C36" s="181">
        <f>'Vertical Stabilizer'!D48</f>
        <v>0.58766233766233755</v>
      </c>
      <c r="E36" s="178">
        <f>C36</f>
        <v>0.58766233766233755</v>
      </c>
      <c r="F36" s="175"/>
    </row>
    <row r="37" spans="2:6" x14ac:dyDescent="0.25">
      <c r="B37" s="268" t="s">
        <v>247</v>
      </c>
      <c r="C37" s="181">
        <f>'Vertical Stabilizer'!D56</f>
        <v>0.97402597402597402</v>
      </c>
      <c r="E37" s="178">
        <f>C37</f>
        <v>0.97402597402597402</v>
      </c>
      <c r="F37" s="175"/>
    </row>
    <row r="38" spans="2:6" x14ac:dyDescent="0.25">
      <c r="B38" s="268" t="s">
        <v>243</v>
      </c>
      <c r="C38" s="181">
        <f>'Vertical Stabilizer'!D39</f>
        <v>8.2773502843760465</v>
      </c>
      <c r="D38" s="166" t="s">
        <v>207</v>
      </c>
      <c r="E38" s="178">
        <f>C38</f>
        <v>8.2773502843760465</v>
      </c>
      <c r="F38" s="175" t="s">
        <v>207</v>
      </c>
    </row>
    <row r="39" spans="2:6" x14ac:dyDescent="0.25">
      <c r="B39" s="216" t="s">
        <v>19</v>
      </c>
      <c r="C39" s="181">
        <f>'Vertical Stabilizer'!D41</f>
        <v>65.093791681823689</v>
      </c>
      <c r="D39" s="166" t="s">
        <v>229</v>
      </c>
      <c r="E39" s="178">
        <f>C39*0.03936996</f>
        <v>2.5627399747617314</v>
      </c>
      <c r="F39" s="175" t="s">
        <v>236</v>
      </c>
    </row>
    <row r="40" spans="2:6" x14ac:dyDescent="0.25">
      <c r="B40" s="285" t="s">
        <v>269</v>
      </c>
      <c r="C40" s="286">
        <f>(Wing!B14-Wing!C43)+(Wing!B25)+('Vertical Stabilizer'!D41)</f>
        <v>1081.948137616919</v>
      </c>
      <c r="D40" s="166" t="s">
        <v>223</v>
      </c>
      <c r="E40" s="178">
        <f>C40*0.03936996</f>
        <v>42.5962549000526</v>
      </c>
      <c r="F40" s="166" t="s">
        <v>234</v>
      </c>
    </row>
    <row r="42" spans="2:6" ht="30.75" customHeight="1" x14ac:dyDescent="0.25">
      <c r="B42" s="167" t="s">
        <v>137</v>
      </c>
      <c r="D42" s="217" t="s">
        <v>45</v>
      </c>
    </row>
    <row r="43" spans="2:6" ht="25.5" x14ac:dyDescent="0.25">
      <c r="B43" s="218" t="s">
        <v>178</v>
      </c>
      <c r="C43" s="178">
        <f>'Tail Sizing Checks'!C7</f>
        <v>5.3129403851367414</v>
      </c>
      <c r="D43" s="219" t="s">
        <v>197</v>
      </c>
      <c r="E43" s="172"/>
    </row>
    <row r="44" spans="2:6" ht="15.75" customHeight="1" x14ac:dyDescent="0.25">
      <c r="E44" s="172"/>
    </row>
    <row r="45" spans="2:6" x14ac:dyDescent="0.25">
      <c r="B45" s="220" t="s">
        <v>138</v>
      </c>
      <c r="C45" s="178">
        <f>'Tail Sizing Checks'!C8</f>
        <v>0.39110042384967131</v>
      </c>
      <c r="D45" s="220" t="s">
        <v>49</v>
      </c>
      <c r="E45" s="172"/>
    </row>
    <row r="46" spans="2:6" x14ac:dyDescent="0.25">
      <c r="B46" s="221"/>
      <c r="D46" s="220"/>
      <c r="E46" s="172"/>
    </row>
    <row r="47" spans="2:6" ht="48" customHeight="1" x14ac:dyDescent="0.25">
      <c r="B47" s="220" t="s">
        <v>139</v>
      </c>
      <c r="C47" s="179">
        <f>'Tail Sizing Checks'!C9</f>
        <v>2.6953614618881371E-2</v>
      </c>
      <c r="D47" s="219" t="s">
        <v>196</v>
      </c>
      <c r="E47" s="172"/>
    </row>
    <row r="48" spans="2:6" x14ac:dyDescent="0.25">
      <c r="B48" s="220"/>
      <c r="C48" s="173"/>
      <c r="D48" s="219"/>
      <c r="E48" s="172"/>
    </row>
    <row r="49" spans="2:6" ht="34.5" customHeight="1" x14ac:dyDescent="0.25">
      <c r="B49" s="219" t="s">
        <v>179</v>
      </c>
      <c r="C49" s="179">
        <f>'Tail Sizing Checks'!C10</f>
        <v>0.14320294763406688</v>
      </c>
      <c r="D49" s="219" t="s">
        <v>237</v>
      </c>
      <c r="E49" s="172"/>
    </row>
    <row r="50" spans="2:6" x14ac:dyDescent="0.25">
      <c r="B50" s="220"/>
      <c r="C50" s="172"/>
      <c r="D50" s="220"/>
      <c r="E50" s="172"/>
    </row>
    <row r="51" spans="2:6" ht="32.25" customHeight="1" x14ac:dyDescent="0.25">
      <c r="B51" s="220" t="s">
        <v>140</v>
      </c>
      <c r="C51" s="178">
        <f>'Tail Sizing Checks'!C11</f>
        <v>11.714563889077866</v>
      </c>
      <c r="D51" s="220" t="s">
        <v>198</v>
      </c>
      <c r="E51" s="172"/>
    </row>
    <row r="53" spans="2:6" ht="15.75" x14ac:dyDescent="0.25">
      <c r="B53" s="174" t="s">
        <v>141</v>
      </c>
    </row>
    <row r="54" spans="2:6" x14ac:dyDescent="0.25">
      <c r="B54" s="175" t="s">
        <v>142</v>
      </c>
      <c r="C54" s="178">
        <f>'Balance Point'!D35</f>
        <v>113.84181085033065</v>
      </c>
      <c r="D54" s="175" t="s">
        <v>229</v>
      </c>
      <c r="E54" s="178">
        <f>C54*0.03936996</f>
        <v>4.4819475395050841</v>
      </c>
      <c r="F54" s="175" t="s">
        <v>236</v>
      </c>
    </row>
    <row r="55" spans="2:6" x14ac:dyDescent="0.25">
      <c r="B55" s="177" t="s">
        <v>180</v>
      </c>
      <c r="C55" s="176"/>
      <c r="D55" s="175"/>
    </row>
    <row r="56" spans="2:6" x14ac:dyDescent="0.25">
      <c r="B56" s="175" t="s">
        <v>206</v>
      </c>
      <c r="C56" s="225">
        <f>'Balance Point'!C36</f>
        <v>3</v>
      </c>
      <c r="D56" s="175" t="s">
        <v>207</v>
      </c>
      <c r="E56" s="178">
        <f>C56</f>
        <v>3</v>
      </c>
      <c r="F56" s="175" t="s">
        <v>207</v>
      </c>
    </row>
    <row r="57" spans="2:6" x14ac:dyDescent="0.25">
      <c r="B57" s="166" t="s">
        <v>208</v>
      </c>
      <c r="C57" s="178">
        <f>'Balance Point'!D36</f>
        <v>105.62583600924667</v>
      </c>
      <c r="D57" s="175" t="s">
        <v>229</v>
      </c>
      <c r="E57" s="178">
        <f>C57*0.03936996</f>
        <v>4.1584849386506013</v>
      </c>
      <c r="F57" s="175" t="s">
        <v>236</v>
      </c>
    </row>
  </sheetData>
  <sheetProtection sheet="1" objects="1" scenarios="1"/>
  <mergeCells count="2">
    <mergeCell ref="B7:C7"/>
    <mergeCell ref="B31:C31"/>
  </mergeCells>
  <phoneticPr fontId="1" type="noConversion"/>
  <pageMargins left="0.75" right="0.75" top="0.5" bottom="0.5"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33"/>
  <sheetViews>
    <sheetView showGridLines="0" workbookViewId="0">
      <selection activeCell="A19" sqref="A19"/>
    </sheetView>
  </sheetViews>
  <sheetFormatPr defaultColWidth="84.375" defaultRowHeight="12.75" x14ac:dyDescent="0.25"/>
  <cols>
    <col min="1" max="1" width="84.375" style="204" customWidth="1"/>
    <col min="2" max="2" width="10.25" style="204" customWidth="1"/>
    <col min="3" max="3" width="15.625" style="204" customWidth="1"/>
    <col min="4" max="4" width="16.125" style="204" customWidth="1"/>
    <col min="5" max="5" width="17.125" style="204" customWidth="1"/>
    <col min="6" max="6" width="14.875" style="204" customWidth="1"/>
    <col min="7" max="7" width="11" style="204" customWidth="1"/>
    <col min="8" max="16384" width="84.375" style="204"/>
  </cols>
  <sheetData>
    <row r="8" spans="1:1" x14ac:dyDescent="0.25">
      <c r="A8" s="205" t="s">
        <v>101</v>
      </c>
    </row>
    <row r="9" spans="1:1" x14ac:dyDescent="0.25">
      <c r="A9" s="204" t="s">
        <v>145</v>
      </c>
    </row>
    <row r="10" spans="1:1" ht="14.25" customHeight="1" x14ac:dyDescent="0.25">
      <c r="A10" s="207" t="s">
        <v>96</v>
      </c>
    </row>
    <row r="11" spans="1:1" x14ac:dyDescent="0.25">
      <c r="A11" s="208" t="s">
        <v>106</v>
      </c>
    </row>
    <row r="12" spans="1:1" x14ac:dyDescent="0.25">
      <c r="A12" s="205" t="s">
        <v>100</v>
      </c>
    </row>
    <row r="13" spans="1:1" ht="12.75" customHeight="1" x14ac:dyDescent="0.25">
      <c r="A13" s="209" t="s">
        <v>105</v>
      </c>
    </row>
    <row r="14" spans="1:1" x14ac:dyDescent="0.25">
      <c r="A14" s="205" t="s">
        <v>99</v>
      </c>
    </row>
    <row r="15" spans="1:1" x14ac:dyDescent="0.25">
      <c r="A15" s="204" t="s">
        <v>104</v>
      </c>
    </row>
    <row r="16" spans="1:1" x14ac:dyDescent="0.25">
      <c r="A16" s="205" t="s">
        <v>2</v>
      </c>
    </row>
    <row r="17" spans="1:2" x14ac:dyDescent="0.25">
      <c r="A17" s="204" t="s">
        <v>92</v>
      </c>
    </row>
    <row r="18" spans="1:2" x14ac:dyDescent="0.25">
      <c r="A18" s="205" t="s">
        <v>43</v>
      </c>
    </row>
    <row r="19" spans="1:2" x14ac:dyDescent="0.25">
      <c r="A19" s="204" t="s">
        <v>110</v>
      </c>
    </row>
    <row r="20" spans="1:2" x14ac:dyDescent="0.25">
      <c r="A20" s="205" t="s">
        <v>98</v>
      </c>
    </row>
    <row r="21" spans="1:2" x14ac:dyDescent="0.25">
      <c r="A21" s="204" t="s">
        <v>93</v>
      </c>
    </row>
    <row r="22" spans="1:2" x14ac:dyDescent="0.25">
      <c r="A22" s="205" t="s">
        <v>103</v>
      </c>
    </row>
    <row r="23" spans="1:2" x14ac:dyDescent="0.25">
      <c r="A23" s="206" t="s">
        <v>199</v>
      </c>
      <c r="B23" s="210"/>
    </row>
    <row r="24" spans="1:2" x14ac:dyDescent="0.25">
      <c r="A24" s="207" t="s">
        <v>95</v>
      </c>
      <c r="B24" s="210"/>
    </row>
    <row r="25" spans="1:2" ht="25.5" x14ac:dyDescent="0.25">
      <c r="A25" s="208" t="s">
        <v>107</v>
      </c>
    </row>
    <row r="26" spans="1:2" x14ac:dyDescent="0.25">
      <c r="A26" s="205" t="s">
        <v>90</v>
      </c>
    </row>
    <row r="27" spans="1:2" x14ac:dyDescent="0.25">
      <c r="A27" s="204" t="s">
        <v>94</v>
      </c>
      <c r="B27" s="210"/>
    </row>
    <row r="28" spans="1:2" x14ac:dyDescent="0.25">
      <c r="A28" s="207" t="s">
        <v>1</v>
      </c>
    </row>
    <row r="29" spans="1:2" x14ac:dyDescent="0.25">
      <c r="A29" s="208" t="s">
        <v>97</v>
      </c>
    </row>
    <row r="30" spans="1:2" x14ac:dyDescent="0.25">
      <c r="A30" s="205" t="s">
        <v>102</v>
      </c>
    </row>
    <row r="31" spans="1:2" ht="25.5" x14ac:dyDescent="0.25">
      <c r="A31" s="204" t="s">
        <v>108</v>
      </c>
      <c r="B31" s="210"/>
    </row>
    <row r="32" spans="1:2" x14ac:dyDescent="0.25">
      <c r="A32" s="205" t="s">
        <v>91</v>
      </c>
    </row>
    <row r="33" spans="1:1" ht="25.5" x14ac:dyDescent="0.25">
      <c r="A33" s="204" t="s">
        <v>109</v>
      </c>
    </row>
  </sheetData>
  <sheetProtection sheet="1"/>
  <phoneticPr fontId="0" type="noConversion"/>
  <pageMargins left="0.75" right="0.75" top="1" bottom="1" header="0.5" footer="0.5"/>
  <pageSetup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3</vt:i4>
      </vt:variant>
    </vt:vector>
  </HeadingPairs>
  <TitlesOfParts>
    <vt:vector size="14" baseType="lpstr">
      <vt:lpstr>Instructions</vt:lpstr>
      <vt:lpstr>Wing</vt:lpstr>
      <vt:lpstr>Horizontal Stabilizer</vt:lpstr>
      <vt:lpstr>Vertical Stabilizer</vt:lpstr>
      <vt:lpstr>Balance Point</vt:lpstr>
      <vt:lpstr>Wing Dihedral</vt:lpstr>
      <vt:lpstr>Tail Sizing Checks</vt:lpstr>
      <vt:lpstr>Results</vt:lpstr>
      <vt:lpstr>Glossary</vt:lpstr>
      <vt:lpstr>Credits</vt:lpstr>
      <vt:lpstr>Links</vt:lpstr>
      <vt:lpstr>'Balance Point'!Obszar_wydruku</vt:lpstr>
      <vt:lpstr>'Tail Sizing Checks'!Obszar_wydruku</vt:lpstr>
      <vt:lpstr>Wing!Obszar_wydruku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Suter</dc:creator>
  <cp:lastModifiedBy>Amper</cp:lastModifiedBy>
  <cp:lastPrinted>2008-01-30T13:21:55Z</cp:lastPrinted>
  <dcterms:created xsi:type="dcterms:W3CDTF">2004-12-22T19:40:07Z</dcterms:created>
  <dcterms:modified xsi:type="dcterms:W3CDTF">2020-11-23T16:38:41Z</dcterms:modified>
</cp:coreProperties>
</file>